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pro24_4_4\"/>
    </mc:Choice>
  </mc:AlternateContent>
  <xr:revisionPtr revIDLastSave="0" documentId="13_ncr:1_{384D812D-60F1-4439-93E6-2E981333A7D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Propu!$O$317:$P$345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Info!$E$52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Propu!$F$317:$F$346</definedName>
    <definedName name="Liste_fusex">Propu!$R$317:$R$346</definedName>
    <definedName name="Liste_H2O">Propu!$C$317:$D$346</definedName>
    <definedName name="Liste_minif">Propu!$L$317:$M$346</definedName>
    <definedName name="Liste_minifT">Propu!$O$317:$O$346</definedName>
    <definedName name="Liste_propu">Propu!$A$317:$A$330</definedName>
    <definedName name="Liste_RC">Propu!$I$317:$J$346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Info!$E$53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33" i="6" l="1"/>
  <c r="O7" i="6" l="1"/>
  <c r="C14" i="6"/>
  <c r="H6" i="7" s="1"/>
  <c r="K25" i="7"/>
  <c r="H8" i="7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J304" i="4"/>
  <c r="B304" i="4"/>
  <c r="M7" i="6"/>
  <c r="C19" i="6"/>
  <c r="L322" i="4"/>
  <c r="L324" i="4"/>
  <c r="L325" i="4"/>
  <c r="L326" i="4"/>
  <c r="L320" i="4"/>
  <c r="L319" i="4"/>
  <c r="L318" i="4"/>
  <c r="L317" i="4"/>
  <c r="I321" i="4"/>
  <c r="I320" i="4"/>
  <c r="I319" i="4"/>
  <c r="I318" i="4"/>
  <c r="I317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J148" i="4"/>
  <c r="B148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103" i="4"/>
  <c r="C98" i="4"/>
  <c r="X104" i="4"/>
  <c r="X105" i="4" s="1"/>
  <c r="W104" i="4"/>
  <c r="V104" i="4"/>
  <c r="U104" i="4"/>
  <c r="T104" i="4"/>
  <c r="S104" i="4"/>
  <c r="R104" i="4"/>
  <c r="Q104" i="4"/>
  <c r="P105" i="4" s="1"/>
  <c r="P104" i="4"/>
  <c r="O104" i="4"/>
  <c r="N105" i="4" s="1"/>
  <c r="N104" i="4"/>
  <c r="M104" i="4"/>
  <c r="L104" i="4"/>
  <c r="K104" i="4"/>
  <c r="J105" i="4" s="1"/>
  <c r="J104" i="4"/>
  <c r="I105" i="4" s="1"/>
  <c r="I104" i="4"/>
  <c r="H104" i="4"/>
  <c r="G104" i="4"/>
  <c r="F104" i="4"/>
  <c r="E104" i="4"/>
  <c r="D104" i="4"/>
  <c r="C104" i="4"/>
  <c r="B105" i="4" s="1"/>
  <c r="B104" i="4"/>
  <c r="L102" i="4"/>
  <c r="H102" i="4"/>
  <c r="B102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100" i="4" s="1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D92" i="4" s="1"/>
  <c r="F92" i="4" s="1"/>
  <c r="H95" i="4"/>
  <c r="G95" i="4"/>
  <c r="F95" i="4"/>
  <c r="E95" i="4"/>
  <c r="D95" i="4"/>
  <c r="C95" i="4"/>
  <c r="B95" i="4"/>
  <c r="J92" i="4"/>
  <c r="B92" i="4"/>
  <c r="O344" i="4"/>
  <c r="O343" i="4"/>
  <c r="O342" i="4"/>
  <c r="O341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J203" i="4"/>
  <c r="B203" i="4"/>
  <c r="E5" i="7"/>
  <c r="H7" i="7"/>
  <c r="E7" i="7"/>
  <c r="E6" i="7"/>
  <c r="H9" i="7"/>
  <c r="K23" i="7"/>
  <c r="J26" i="7"/>
  <c r="J25" i="7"/>
  <c r="J23" i="7"/>
  <c r="G27" i="7"/>
  <c r="G26" i="7"/>
  <c r="F26" i="7"/>
  <c r="G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U20" i="7"/>
  <c r="Q17" i="7"/>
  <c r="U16" i="7"/>
  <c r="U13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E29" i="1" s="1"/>
  <c r="C161" i="6"/>
  <c r="C162" i="6"/>
  <c r="C160" i="6"/>
  <c r="C159" i="6"/>
  <c r="C158" i="6"/>
  <c r="C25" i="6"/>
  <c r="M21" i="6"/>
  <c r="C140" i="6"/>
  <c r="D25" i="7"/>
  <c r="F108" i="1"/>
  <c r="C113" i="1" s="1"/>
  <c r="C152" i="1"/>
  <c r="C150" i="1"/>
  <c r="C148" i="1"/>
  <c r="N33" i="1"/>
  <c r="C131" i="1"/>
  <c r="B25" i="1"/>
  <c r="J30" i="6"/>
  <c r="E191" i="6" s="1"/>
  <c r="G30" i="6"/>
  <c r="E182" i="6" s="1"/>
  <c r="J29" i="6"/>
  <c r="B188" i="6" s="1"/>
  <c r="G29" i="6"/>
  <c r="J28" i="6"/>
  <c r="C185" i="6" s="1"/>
  <c r="J27" i="6"/>
  <c r="G28" i="6"/>
  <c r="G27" i="6"/>
  <c r="W35" i="6"/>
  <c r="B100" i="6"/>
  <c r="B97" i="6"/>
  <c r="B98" i="6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S240" i="4"/>
  <c r="T240" i="4" s="1"/>
  <c r="U240" i="4" s="1"/>
  <c r="V240" i="4" s="1"/>
  <c r="W240" i="4" s="1"/>
  <c r="S239" i="4"/>
  <c r="T239" i="4" s="1"/>
  <c r="J238" i="4"/>
  <c r="B238" i="4"/>
  <c r="O321" i="4"/>
  <c r="O32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40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V255" i="4"/>
  <c r="W255" i="4" s="1"/>
  <c r="V254" i="4"/>
  <c r="W254" i="4" s="1"/>
  <c r="X254" i="4" s="1"/>
  <c r="J253" i="4"/>
  <c r="B253" i="4"/>
  <c r="O3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T235" i="4" s="1"/>
  <c r="S234" i="4"/>
  <c r="R236" i="4" s="1"/>
  <c r="J233" i="4"/>
  <c r="B233" i="4"/>
  <c r="O346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S211" i="4"/>
  <c r="R211" i="4"/>
  <c r="J208" i="4"/>
  <c r="B208" i="4"/>
  <c r="O336" i="4"/>
  <c r="O335" i="4"/>
  <c r="O334" i="4"/>
  <c r="O333" i="4"/>
  <c r="O338" i="4"/>
  <c r="O339" i="4"/>
  <c r="O345" i="4"/>
  <c r="O323" i="4"/>
  <c r="O324" i="4"/>
  <c r="O325" i="4"/>
  <c r="O326" i="4"/>
  <c r="O327" i="4"/>
  <c r="O319" i="4"/>
  <c r="O322" i="4"/>
  <c r="O328" i="4"/>
  <c r="O329" i="4"/>
  <c r="O330" i="4"/>
  <c r="O331" i="4"/>
  <c r="O332" i="4"/>
  <c r="O318" i="4"/>
  <c r="O317" i="4"/>
  <c r="U256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D228" i="4" s="1"/>
  <c r="F228" i="4" s="1"/>
  <c r="G231" i="4"/>
  <c r="F231" i="4"/>
  <c r="E231" i="4"/>
  <c r="D231" i="4"/>
  <c r="C231" i="4"/>
  <c r="B231" i="4"/>
  <c r="J228" i="4"/>
  <c r="B228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T225" i="4"/>
  <c r="U225" i="4" s="1"/>
  <c r="R226" i="4"/>
  <c r="T224" i="4"/>
  <c r="U224" i="4" s="1"/>
  <c r="V224" i="4" s="1"/>
  <c r="W224" i="4" s="1"/>
  <c r="J223" i="4"/>
  <c r="B223" i="4"/>
  <c r="V249" i="4"/>
  <c r="W249" i="4" s="1"/>
  <c r="W244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J248" i="4"/>
  <c r="B248" i="4"/>
  <c r="J246" i="4"/>
  <c r="I246" i="4"/>
  <c r="H246" i="4"/>
  <c r="G246" i="4"/>
  <c r="F246" i="4"/>
  <c r="E246" i="4"/>
  <c r="D246" i="4"/>
  <c r="C246" i="4"/>
  <c r="B246" i="4"/>
  <c r="J243" i="4"/>
  <c r="B243" i="4"/>
  <c r="L194" i="4"/>
  <c r="K196" i="4" s="1"/>
  <c r="R334" i="4"/>
  <c r="R335" i="4"/>
  <c r="R336" i="4"/>
  <c r="R337" i="4"/>
  <c r="R338" i="4"/>
  <c r="R339" i="4"/>
  <c r="S195" i="4"/>
  <c r="T195" i="4" s="1"/>
  <c r="U195" i="4" s="1"/>
  <c r="V195" i="4" s="1"/>
  <c r="W195" i="4" s="1"/>
  <c r="X195" i="4" s="1"/>
  <c r="X196" i="4" s="1"/>
  <c r="J196" i="4"/>
  <c r="I196" i="4"/>
  <c r="H196" i="4"/>
  <c r="G196" i="4"/>
  <c r="F196" i="4"/>
  <c r="E196" i="4"/>
  <c r="D196" i="4"/>
  <c r="C196" i="4"/>
  <c r="B196" i="4"/>
  <c r="J193" i="4"/>
  <c r="B193" i="4"/>
  <c r="S200" i="4"/>
  <c r="T200" i="4" s="1"/>
  <c r="S199" i="4"/>
  <c r="T199" i="4" s="1"/>
  <c r="U199" i="4" s="1"/>
  <c r="V199" i="4" s="1"/>
  <c r="W199" i="4" s="1"/>
  <c r="X199" i="4" s="1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B213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S215" i="4"/>
  <c r="T215" i="4" s="1"/>
  <c r="S214" i="4"/>
  <c r="J213" i="4"/>
  <c r="A2" i="4"/>
  <c r="B133" i="4"/>
  <c r="B4" i="3"/>
  <c r="AC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J4" i="3"/>
  <c r="K4" i="3"/>
  <c r="V4" i="3" s="1"/>
  <c r="I4" i="3"/>
  <c r="B113" i="4"/>
  <c r="M18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T165" i="4"/>
  <c r="S166" i="4" s="1"/>
  <c r="X164" i="4"/>
  <c r="L163" i="4"/>
  <c r="J163" i="4" s="1"/>
  <c r="B47" i="1"/>
  <c r="C27" i="1" s="1"/>
  <c r="D29" i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D31" i="4" s="1"/>
  <c r="F31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D56" i="4" s="1"/>
  <c r="F56" i="4" s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I75" i="4"/>
  <c r="D72" i="4" s="1"/>
  <c r="F72" i="4" s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D77" i="4" s="1"/>
  <c r="F77" i="4" s="1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D85" i="4" s="1"/>
  <c r="E84" i="4"/>
  <c r="F84" i="4"/>
  <c r="E85" i="4" s="1"/>
  <c r="G84" i="4"/>
  <c r="F85" i="4" s="1"/>
  <c r="H84" i="4"/>
  <c r="I84" i="4"/>
  <c r="J84" i="4"/>
  <c r="K84" i="4"/>
  <c r="L84" i="4"/>
  <c r="L85" i="4" s="1"/>
  <c r="M84" i="4"/>
  <c r="N84" i="4"/>
  <c r="O84" i="4"/>
  <c r="N85" i="4" s="1"/>
  <c r="P84" i="4"/>
  <c r="O85" i="4" s="1"/>
  <c r="Q84" i="4"/>
  <c r="R84" i="4"/>
  <c r="S84" i="4"/>
  <c r="T84" i="4"/>
  <c r="U84" i="4"/>
  <c r="V84" i="4"/>
  <c r="W84" i="4"/>
  <c r="V85" i="4" s="1"/>
  <c r="X84" i="4"/>
  <c r="H82" i="4"/>
  <c r="L82" i="4"/>
  <c r="C89" i="4"/>
  <c r="B89" i="4"/>
  <c r="D89" i="4"/>
  <c r="E89" i="4"/>
  <c r="F89" i="4"/>
  <c r="G89" i="4"/>
  <c r="F90" i="4" s="1"/>
  <c r="H89" i="4"/>
  <c r="G90" i="4" s="1"/>
  <c r="I89" i="4"/>
  <c r="J89" i="4"/>
  <c r="K89" i="4"/>
  <c r="K90" i="4" s="1"/>
  <c r="L89" i="4"/>
  <c r="M89" i="4"/>
  <c r="N89" i="4"/>
  <c r="O89" i="4"/>
  <c r="P89" i="4"/>
  <c r="O90" i="4" s="1"/>
  <c r="Q89" i="4"/>
  <c r="R89" i="4"/>
  <c r="S89" i="4"/>
  <c r="S90" i="4" s="1"/>
  <c r="T89" i="4"/>
  <c r="U89" i="4"/>
  <c r="V89" i="4"/>
  <c r="W89" i="4"/>
  <c r="V90" i="4" s="1"/>
  <c r="X89" i="4"/>
  <c r="X90" i="4" s="1"/>
  <c r="H87" i="4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D138" i="4" s="1"/>
  <c r="F138" i="4" s="1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6" i="4"/>
  <c r="C156" i="4"/>
  <c r="D156" i="4"/>
  <c r="D153" i="4" s="1"/>
  <c r="F153" i="4" s="1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J158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G176" i="4"/>
  <c r="H176" i="4"/>
  <c r="I176" i="4"/>
  <c r="D173" i="4" s="1"/>
  <c r="F173" i="4" s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D183" i="4" s="1"/>
  <c r="F183" i="4" s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J183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T190" i="4"/>
  <c r="U190" i="4" s="1"/>
  <c r="X189" i="4"/>
  <c r="L188" i="4"/>
  <c r="J188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J218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J263" i="4"/>
  <c r="B272" i="4"/>
  <c r="C272" i="4"/>
  <c r="D269" i="4" s="1"/>
  <c r="F269" i="4" s="1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D284" i="4" s="1"/>
  <c r="F284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J309" i="4"/>
  <c r="A31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53" i="4"/>
  <c r="B158" i="4"/>
  <c r="B163" i="4"/>
  <c r="B168" i="4"/>
  <c r="B173" i="4"/>
  <c r="B178" i="4"/>
  <c r="B183" i="4"/>
  <c r="B188" i="4"/>
  <c r="B218" i="4"/>
  <c r="B258" i="4"/>
  <c r="B263" i="4"/>
  <c r="B269" i="4"/>
  <c r="B274" i="4"/>
  <c r="B279" i="4"/>
  <c r="B284" i="4"/>
  <c r="B289" i="4"/>
  <c r="B294" i="4"/>
  <c r="B299" i="4"/>
  <c r="B309" i="4"/>
  <c r="E116" i="7"/>
  <c r="F85" i="7"/>
  <c r="H118" i="7"/>
  <c r="H111" i="7"/>
  <c r="E102" i="7"/>
  <c r="E103" i="7"/>
  <c r="E104" i="7"/>
  <c r="E100" i="7"/>
  <c r="H105" i="7"/>
  <c r="J105" i="7"/>
  <c r="J101" i="7"/>
  <c r="F97" i="7"/>
  <c r="J92" i="7"/>
  <c r="J88" i="7"/>
  <c r="J86" i="7"/>
  <c r="J84" i="7"/>
  <c r="F90" i="7"/>
  <c r="F82" i="7"/>
  <c r="D85" i="7"/>
  <c r="D83" i="7"/>
  <c r="D81" i="7"/>
  <c r="D80" i="7"/>
  <c r="B19" i="6"/>
  <c r="F321" i="4"/>
  <c r="F320" i="4"/>
  <c r="C21" i="5"/>
  <c r="C20" i="5"/>
  <c r="C26" i="5"/>
  <c r="C22" i="5"/>
  <c r="C17" i="5"/>
  <c r="C19" i="5"/>
  <c r="C16" i="5"/>
  <c r="C15" i="5"/>
  <c r="L2" i="6"/>
  <c r="C317" i="4"/>
  <c r="F317" i="4"/>
  <c r="R317" i="4"/>
  <c r="C318" i="4"/>
  <c r="F318" i="4"/>
  <c r="R318" i="4"/>
  <c r="C319" i="4"/>
  <c r="F319" i="4"/>
  <c r="C320" i="4"/>
  <c r="C321" i="4"/>
  <c r="C322" i="4"/>
  <c r="C323" i="4"/>
  <c r="C324" i="4"/>
  <c r="B146" i="2"/>
  <c r="B35" i="1"/>
  <c r="B36" i="6"/>
  <c r="B15" i="8"/>
  <c r="B76" i="2"/>
  <c r="B11" i="8"/>
  <c r="B107" i="1"/>
  <c r="F42" i="5"/>
  <c r="B71" i="8"/>
  <c r="B78" i="8"/>
  <c r="C5" i="8"/>
  <c r="B76" i="8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1" i="5"/>
  <c r="C53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2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6" i="6"/>
  <c r="B155" i="6"/>
  <c r="E175" i="6"/>
  <c r="C176" i="6"/>
  <c r="F176" i="6"/>
  <c r="G176" i="6"/>
  <c r="D176" i="6" s="1"/>
  <c r="E176" i="6" s="1"/>
  <c r="H176" i="6"/>
  <c r="C177" i="6"/>
  <c r="F177" i="6"/>
  <c r="G177" i="6"/>
  <c r="D177" i="6" s="1"/>
  <c r="E177" i="6" s="1"/>
  <c r="H177" i="6"/>
  <c r="C178" i="6"/>
  <c r="F178" i="6"/>
  <c r="G178" i="6"/>
  <c r="H178" i="6"/>
  <c r="C179" i="6"/>
  <c r="F179" i="6"/>
  <c r="G179" i="6"/>
  <c r="D179" i="6" s="1"/>
  <c r="E179" i="6" s="1"/>
  <c r="H179" i="6"/>
  <c r="C180" i="6"/>
  <c r="D180" i="6"/>
  <c r="E180" i="6" s="1"/>
  <c r="F180" i="6"/>
  <c r="G180" i="6"/>
  <c r="H180" i="6"/>
  <c r="U120" i="4"/>
  <c r="T121" i="4" s="1"/>
  <c r="W85" i="4"/>
  <c r="U85" i="4"/>
  <c r="M85" i="4"/>
  <c r="G85" i="4"/>
  <c r="V115" i="4"/>
  <c r="D133" i="4"/>
  <c r="F133" i="4" s="1"/>
  <c r="J87" i="4"/>
  <c r="Q90" i="4"/>
  <c r="I90" i="4"/>
  <c r="T214" i="4"/>
  <c r="U214" i="4" s="1"/>
  <c r="V214" i="4" s="1"/>
  <c r="W214" i="4" s="1"/>
  <c r="D263" i="4"/>
  <c r="F263" i="4" s="1"/>
  <c r="X85" i="4"/>
  <c r="T85" i="4"/>
  <c r="R85" i="4"/>
  <c r="P85" i="4"/>
  <c r="J85" i="4"/>
  <c r="H85" i="4"/>
  <c r="B85" i="4"/>
  <c r="V120" i="4"/>
  <c r="W120" i="4" s="1"/>
  <c r="T90" i="4"/>
  <c r="R90" i="4"/>
  <c r="N90" i="4"/>
  <c r="L90" i="4"/>
  <c r="D90" i="4"/>
  <c r="D51" i="4"/>
  <c r="F51" i="4" s="1"/>
  <c r="D36" i="4"/>
  <c r="F36" i="4" s="1"/>
  <c r="U165" i="4"/>
  <c r="T166" i="4" s="1"/>
  <c r="R201" i="4"/>
  <c r="T211" i="4"/>
  <c r="S226" i="4"/>
  <c r="S251" i="4"/>
  <c r="L246" i="4"/>
  <c r="K246" i="4"/>
  <c r="R251" i="4"/>
  <c r="U116" i="4"/>
  <c r="W115" i="4"/>
  <c r="X115" i="4" s="1"/>
  <c r="V116" i="4"/>
  <c r="U211" i="4"/>
  <c r="M246" i="4"/>
  <c r="V250" i="4"/>
  <c r="U251" i="4" s="1"/>
  <c r="T251" i="4"/>
  <c r="V211" i="4"/>
  <c r="N246" i="4"/>
  <c r="X245" i="4"/>
  <c r="X246" i="4" s="1"/>
  <c r="W211" i="4"/>
  <c r="X211" i="4"/>
  <c r="O246" i="4"/>
  <c r="P246" i="4"/>
  <c r="Q246" i="4"/>
  <c r="R246" i="4"/>
  <c r="S246" i="4"/>
  <c r="T246" i="4"/>
  <c r="U246" i="4"/>
  <c r="X244" i="4"/>
  <c r="V246" i="4"/>
  <c r="W130" i="4"/>
  <c r="V131" i="4" s="1"/>
  <c r="U125" i="4"/>
  <c r="V125" i="4" s="1"/>
  <c r="R241" i="4"/>
  <c r="T126" i="4"/>
  <c r="C163" i="6"/>
  <c r="S191" i="4"/>
  <c r="O21" i="6"/>
  <c r="C167" i="6"/>
  <c r="C166" i="6"/>
  <c r="D161" i="6"/>
  <c r="E161" i="6" s="1"/>
  <c r="D158" i="6"/>
  <c r="E158" i="6" s="1"/>
  <c r="D162" i="6"/>
  <c r="E162" i="6" s="1"/>
  <c r="D160" i="6"/>
  <c r="E160" i="6" s="1"/>
  <c r="D159" i="6"/>
  <c r="E159" i="6" s="1"/>
  <c r="D166" i="6"/>
  <c r="E166" i="6" s="1"/>
  <c r="D167" i="6"/>
  <c r="E167" i="6" s="1"/>
  <c r="D163" i="6"/>
  <c r="E163" i="6" s="1"/>
  <c r="D165" i="6"/>
  <c r="E165" i="6" s="1"/>
  <c r="D164" i="6"/>
  <c r="E164" i="6" s="1"/>
  <c r="C165" i="6"/>
  <c r="O22" i="6"/>
  <c r="M22" i="6"/>
  <c r="C164" i="6"/>
  <c r="S206" i="4"/>
  <c r="R206" i="4"/>
  <c r="T206" i="4"/>
  <c r="U206" i="4"/>
  <c r="X205" i="4"/>
  <c r="W206" i="4" s="1"/>
  <c r="V206" i="4"/>
  <c r="X100" i="4"/>
  <c r="L105" i="4"/>
  <c r="C105" i="4"/>
  <c r="G105" i="4"/>
  <c r="K105" i="4"/>
  <c r="O105" i="4"/>
  <c r="S100" i="4"/>
  <c r="U100" i="4"/>
  <c r="H100" i="4"/>
  <c r="Q100" i="4"/>
  <c r="Q105" i="4"/>
  <c r="H4" i="3" l="1"/>
  <c r="O9" i="6"/>
  <c r="K26" i="7" s="1"/>
  <c r="D34" i="6"/>
  <c r="F25" i="7"/>
  <c r="C35" i="6"/>
  <c r="E45" i="7"/>
  <c r="B143" i="6"/>
  <c r="J97" i="7"/>
  <c r="C133" i="6"/>
  <c r="E188" i="6"/>
  <c r="E192" i="6"/>
  <c r="C184" i="6"/>
  <c r="C197" i="6"/>
  <c r="B197" i="6" s="1"/>
  <c r="C198" i="6"/>
  <c r="B189" i="6"/>
  <c r="E127" i="7"/>
  <c r="H69" i="7"/>
  <c r="E8" i="7"/>
  <c r="C148" i="6"/>
  <c r="V165" i="4"/>
  <c r="U166" i="4" s="1"/>
  <c r="J90" i="4"/>
  <c r="W90" i="4"/>
  <c r="D178" i="4"/>
  <c r="F178" i="4" s="1"/>
  <c r="D168" i="4"/>
  <c r="F168" i="4" s="1"/>
  <c r="D158" i="4"/>
  <c r="F158" i="4" s="1"/>
  <c r="D143" i="4"/>
  <c r="F143" i="4" s="1"/>
  <c r="P90" i="4"/>
  <c r="H90" i="4"/>
  <c r="J82" i="4"/>
  <c r="Q85" i="4"/>
  <c r="I85" i="4"/>
  <c r="T234" i="4"/>
  <c r="U234" i="4" s="1"/>
  <c r="V234" i="4" s="1"/>
  <c r="W234" i="4" s="1"/>
  <c r="L100" i="4"/>
  <c r="R105" i="4"/>
  <c r="L4" i="3"/>
  <c r="B79" i="8"/>
  <c r="M194" i="4"/>
  <c r="V100" i="4"/>
  <c r="E105" i="4"/>
  <c r="S105" i="4"/>
  <c r="D279" i="4"/>
  <c r="F279" i="4" s="1"/>
  <c r="U90" i="4"/>
  <c r="E90" i="4"/>
  <c r="G100" i="4"/>
  <c r="P100" i="4"/>
  <c r="T105" i="4"/>
  <c r="B77" i="8"/>
  <c r="D274" i="4"/>
  <c r="F274" i="4" s="1"/>
  <c r="D258" i="4"/>
  <c r="F258" i="4" s="1"/>
  <c r="D218" i="4"/>
  <c r="F218" i="4" s="1"/>
  <c r="M90" i="4"/>
  <c r="C182" i="6"/>
  <c r="R216" i="4"/>
  <c r="M20" i="6"/>
  <c r="B100" i="4"/>
  <c r="J100" i="4"/>
  <c r="C136" i="6"/>
  <c r="C90" i="4"/>
  <c r="S85" i="4"/>
  <c r="K85" i="4"/>
  <c r="D67" i="4"/>
  <c r="F67" i="4" s="1"/>
  <c r="D61" i="4"/>
  <c r="F61" i="4" s="1"/>
  <c r="D46" i="4"/>
  <c r="F46" i="4" s="1"/>
  <c r="D41" i="4"/>
  <c r="F41" i="4" s="1"/>
  <c r="D26" i="4"/>
  <c r="F26" i="4" s="1"/>
  <c r="R100" i="4"/>
  <c r="E185" i="6"/>
  <c r="W116" i="4"/>
  <c r="D113" i="4" s="1"/>
  <c r="F113" i="4" s="1"/>
  <c r="X116" i="4"/>
  <c r="X120" i="4"/>
  <c r="V121" i="4"/>
  <c r="U239" i="4"/>
  <c r="V239" i="4" s="1"/>
  <c r="W239" i="4" s="1"/>
  <c r="X239" i="4" s="1"/>
  <c r="S241" i="4"/>
  <c r="U126" i="4"/>
  <c r="W125" i="4"/>
  <c r="S216" i="4"/>
  <c r="U215" i="4"/>
  <c r="T216" i="4" s="1"/>
  <c r="D309" i="4"/>
  <c r="F309" i="4" s="1"/>
  <c r="D299" i="4"/>
  <c r="F299" i="4" s="1"/>
  <c r="D294" i="4"/>
  <c r="F294" i="4" s="1"/>
  <c r="D208" i="4"/>
  <c r="F208" i="4" s="1"/>
  <c r="B90" i="4"/>
  <c r="W165" i="4"/>
  <c r="U121" i="4"/>
  <c r="U110" i="4"/>
  <c r="J97" i="4"/>
  <c r="F100" i="4"/>
  <c r="N100" i="4"/>
  <c r="T100" i="4"/>
  <c r="V105" i="4"/>
  <c r="T241" i="4"/>
  <c r="C100" i="4"/>
  <c r="W100" i="4"/>
  <c r="H105" i="4"/>
  <c r="U105" i="4"/>
  <c r="D126" i="6"/>
  <c r="W250" i="4"/>
  <c r="X250" i="4" s="1"/>
  <c r="X251" i="4" s="1"/>
  <c r="D289" i="4"/>
  <c r="F289" i="4" s="1"/>
  <c r="X130" i="4"/>
  <c r="W246" i="4"/>
  <c r="D243" i="4" s="1"/>
  <c r="F243" i="4" s="1"/>
  <c r="C85" i="4"/>
  <c r="B199" i="6"/>
  <c r="D100" i="4"/>
  <c r="J102" i="4"/>
  <c r="F105" i="4"/>
  <c r="M105" i="4"/>
  <c r="E186" i="6"/>
  <c r="E187" i="6"/>
  <c r="J24" i="7"/>
  <c r="D304" i="4"/>
  <c r="F304" i="4" s="1"/>
  <c r="U200" i="4"/>
  <c r="S201" i="4"/>
  <c r="T191" i="4"/>
  <c r="V190" i="4"/>
  <c r="T226" i="4"/>
  <c r="V225" i="4"/>
  <c r="X255" i="4"/>
  <c r="V256" i="4"/>
  <c r="X240" i="4"/>
  <c r="W251" i="4"/>
  <c r="U235" i="4"/>
  <c r="K100" i="4"/>
  <c r="M100" i="4"/>
  <c r="O100" i="4"/>
  <c r="D105" i="4"/>
  <c r="W105" i="4"/>
  <c r="I100" i="4"/>
  <c r="X206" i="4"/>
  <c r="D203" i="4" s="1"/>
  <c r="F203" i="4" s="1"/>
  <c r="V215" i="4"/>
  <c r="B2" i="4"/>
  <c r="M24" i="6"/>
  <c r="K24" i="7"/>
  <c r="F94" i="7"/>
  <c r="M23" i="6"/>
  <c r="B57" i="8"/>
  <c r="C57" i="8" s="1"/>
  <c r="C14" i="1"/>
  <c r="H51" i="7" s="1"/>
  <c r="B59" i="8"/>
  <c r="C59" i="8" s="1"/>
  <c r="D178" i="6"/>
  <c r="E178" i="6" s="1"/>
  <c r="C34" i="6"/>
  <c r="E56" i="7" s="1"/>
  <c r="B61" i="8"/>
  <c r="C61" i="8" s="1"/>
  <c r="E40" i="7"/>
  <c r="O23" i="6"/>
  <c r="O24" i="6"/>
  <c r="B53" i="8"/>
  <c r="C53" i="8" s="1"/>
  <c r="B63" i="8"/>
  <c r="C63" i="8" s="1"/>
  <c r="B67" i="8"/>
  <c r="C67" i="8" s="1"/>
  <c r="B62" i="8"/>
  <c r="C62" i="8" s="1"/>
  <c r="B65" i="8"/>
  <c r="C65" i="8" s="1"/>
  <c r="H27" i="6"/>
  <c r="H45" i="7" s="1"/>
  <c r="C15" i="8"/>
  <c r="B66" i="8"/>
  <c r="C66" i="8" s="1"/>
  <c r="B54" i="8"/>
  <c r="C54" i="8" s="1"/>
  <c r="B56" i="8"/>
  <c r="C56" i="8" s="1"/>
  <c r="B60" i="8"/>
  <c r="C60" i="8" s="1"/>
  <c r="O18" i="6"/>
  <c r="B52" i="8"/>
  <c r="C52" i="8" s="1"/>
  <c r="D26" i="7"/>
  <c r="B51" i="8"/>
  <c r="C51" i="8" s="1"/>
  <c r="B58" i="8"/>
  <c r="C58" i="8" s="1"/>
  <c r="B64" i="8"/>
  <c r="C64" i="8" s="1"/>
  <c r="B50" i="8"/>
  <c r="C50" i="8" s="1"/>
  <c r="B55" i="8"/>
  <c r="C55" i="8" s="1"/>
  <c r="T14" i="6"/>
  <c r="C173" i="6"/>
  <c r="C172" i="6"/>
  <c r="C195" i="6"/>
  <c r="A317" i="4" a="1"/>
  <c r="A341" i="4" s="1"/>
  <c r="D148" i="4"/>
  <c r="F148" i="4" s="1"/>
  <c r="H27" i="1"/>
  <c r="H67" i="7"/>
  <c r="H17" i="7"/>
  <c r="B106" i="1"/>
  <c r="E24" i="1"/>
  <c r="B108" i="1"/>
  <c r="H46" i="1"/>
  <c r="B157" i="1"/>
  <c r="B131" i="1"/>
  <c r="G4" i="3"/>
  <c r="C139" i="6"/>
  <c r="C134" i="6"/>
  <c r="C143" i="6"/>
  <c r="C146" i="6"/>
  <c r="AD4" i="3"/>
  <c r="E190" i="6"/>
  <c r="D30" i="1"/>
  <c r="I68" i="7" s="1"/>
  <c r="AE4" i="3"/>
  <c r="T19" i="6"/>
  <c r="C142" i="6"/>
  <c r="C141" i="6"/>
  <c r="C145" i="6"/>
  <c r="I71" i="7"/>
  <c r="B75" i="8"/>
  <c r="C196" i="6"/>
  <c r="B196" i="6" s="1"/>
  <c r="C147" i="6"/>
  <c r="E42" i="7"/>
  <c r="E193" i="6"/>
  <c r="E189" i="6"/>
  <c r="C183" i="6"/>
  <c r="J90" i="7"/>
  <c r="F118" i="7" s="1"/>
  <c r="C132" i="6"/>
  <c r="F27" i="7"/>
  <c r="C137" i="6"/>
  <c r="C135" i="6"/>
  <c r="C138" i="6"/>
  <c r="E33" i="6"/>
  <c r="C144" i="6"/>
  <c r="T17" i="6"/>
  <c r="E14" i="7"/>
  <c r="B201" i="6"/>
  <c r="C201" i="6" s="1"/>
  <c r="B186" i="6"/>
  <c r="B200" i="6"/>
  <c r="C200" i="6" s="1"/>
  <c r="E183" i="6"/>
  <c r="B187" i="6"/>
  <c r="E184" i="6"/>
  <c r="B202" i="6"/>
  <c r="D3" i="4"/>
  <c r="C128" i="6" l="1"/>
  <c r="C129" i="6" s="1"/>
  <c r="U241" i="4"/>
  <c r="S236" i="4"/>
  <c r="D82" i="4"/>
  <c r="F82" i="4" s="1"/>
  <c r="N194" i="4"/>
  <c r="L196" i="4"/>
  <c r="D97" i="4"/>
  <c r="F97" i="4" s="1"/>
  <c r="V241" i="4"/>
  <c r="D87" i="4"/>
  <c r="F87" i="4" s="1"/>
  <c r="V166" i="4"/>
  <c r="X165" i="4"/>
  <c r="V126" i="4"/>
  <c r="X125" i="4"/>
  <c r="V251" i="4"/>
  <c r="D248" i="4" s="1"/>
  <c r="F248" i="4" s="1"/>
  <c r="X131" i="4"/>
  <c r="W131" i="4"/>
  <c r="D128" i="4" s="1"/>
  <c r="V110" i="4"/>
  <c r="T111" i="4"/>
  <c r="D102" i="4"/>
  <c r="F102" i="4" s="1"/>
  <c r="E126" i="6"/>
  <c r="D127" i="6"/>
  <c r="W121" i="4"/>
  <c r="X121" i="4"/>
  <c r="W225" i="4"/>
  <c r="U226" i="4"/>
  <c r="X256" i="4"/>
  <c r="W256" i="4"/>
  <c r="D253" i="4" s="1"/>
  <c r="T201" i="4"/>
  <c r="V200" i="4"/>
  <c r="W215" i="4"/>
  <c r="U216" i="4"/>
  <c r="T236" i="4"/>
  <c r="V235" i="4"/>
  <c r="X241" i="4"/>
  <c r="W241" i="4"/>
  <c r="U191" i="4"/>
  <c r="W190" i="4"/>
  <c r="D157" i="6"/>
  <c r="D137" i="6"/>
  <c r="W4" i="3"/>
  <c r="D139" i="6"/>
  <c r="D133" i="6"/>
  <c r="E133" i="6" s="1"/>
  <c r="D156" i="6"/>
  <c r="D135" i="6"/>
  <c r="E135" i="6" s="1"/>
  <c r="E52" i="7"/>
  <c r="D140" i="6"/>
  <c r="E30" i="6"/>
  <c r="E28" i="6" s="1"/>
  <c r="E34" i="6"/>
  <c r="D138" i="6"/>
  <c r="D145" i="6"/>
  <c r="D148" i="6"/>
  <c r="D143" i="6"/>
  <c r="D141" i="6"/>
  <c r="D134" i="6"/>
  <c r="E134" i="6" s="1"/>
  <c r="O20" i="6"/>
  <c r="I28" i="6" s="1"/>
  <c r="D136" i="6"/>
  <c r="E136" i="6" s="1"/>
  <c r="D147" i="6"/>
  <c r="E57" i="7"/>
  <c r="D142" i="6"/>
  <c r="D155" i="6"/>
  <c r="D132" i="6"/>
  <c r="E132" i="6" s="1"/>
  <c r="C168" i="6"/>
  <c r="C169" i="6" s="1"/>
  <c r="D168" i="6"/>
  <c r="D169" i="6" s="1"/>
  <c r="D144" i="6"/>
  <c r="E53" i="7"/>
  <c r="D146" i="6"/>
  <c r="S27" i="6"/>
  <c r="H12" i="7"/>
  <c r="I16" i="7"/>
  <c r="K49" i="1"/>
  <c r="R27" i="1"/>
  <c r="A323" i="4"/>
  <c r="A330" i="4"/>
  <c r="A331" i="4"/>
  <c r="A343" i="4"/>
  <c r="A339" i="4"/>
  <c r="A327" i="4"/>
  <c r="A338" i="4"/>
  <c r="A320" i="4"/>
  <c r="A332" i="4"/>
  <c r="A337" i="4"/>
  <c r="A340" i="4"/>
  <c r="A318" i="4"/>
  <c r="A333" i="4"/>
  <c r="A328" i="4"/>
  <c r="A342" i="4"/>
  <c r="A325" i="4"/>
  <c r="A336" i="4"/>
  <c r="A317" i="4"/>
  <c r="A346" i="4"/>
  <c r="A322" i="4"/>
  <c r="A329" i="4"/>
  <c r="A321" i="4"/>
  <c r="A326" i="4"/>
  <c r="A345" i="4"/>
  <c r="A319" i="4"/>
  <c r="A324" i="4"/>
  <c r="A335" i="4"/>
  <c r="A344" i="4"/>
  <c r="A334" i="4"/>
  <c r="O3" i="4"/>
  <c r="X4" i="4"/>
  <c r="K4" i="4"/>
  <c r="J4" i="4"/>
  <c r="P2" i="4"/>
  <c r="N3" i="4"/>
  <c r="H4" i="4"/>
  <c r="H2" i="4"/>
  <c r="F4" i="4"/>
  <c r="R4" i="4"/>
  <c r="U3" i="4"/>
  <c r="D4" i="4"/>
  <c r="I3" i="4"/>
  <c r="J2" i="4"/>
  <c r="C4" i="4"/>
  <c r="K3" i="4"/>
  <c r="T3" i="4"/>
  <c r="Y3" i="4"/>
  <c r="B4" i="4"/>
  <c r="V2" i="4"/>
  <c r="F3" i="4"/>
  <c r="N4" i="4"/>
  <c r="M3" i="4"/>
  <c r="X2" i="4"/>
  <c r="G4" i="4"/>
  <c r="U4" i="4"/>
  <c r="R2" i="4"/>
  <c r="R3" i="4"/>
  <c r="S4" i="4"/>
  <c r="Q3" i="4"/>
  <c r="L2" i="4"/>
  <c r="T2" i="4"/>
  <c r="M4" i="4"/>
  <c r="E4" i="4"/>
  <c r="X3" i="4"/>
  <c r="C3" i="4"/>
  <c r="V4" i="4"/>
  <c r="D2" i="4"/>
  <c r="P3" i="4"/>
  <c r="F2" i="4"/>
  <c r="N2" i="4"/>
  <c r="Z2" i="4"/>
  <c r="Q4" i="4"/>
  <c r="P4" i="4"/>
  <c r="L3" i="4"/>
  <c r="T4" i="4"/>
  <c r="I4" i="4"/>
  <c r="B3" i="4"/>
  <c r="W4" i="4"/>
  <c r="S3" i="4"/>
  <c r="O4" i="4"/>
  <c r="J3" i="4"/>
  <c r="Y4" i="4"/>
  <c r="G3" i="4"/>
  <c r="H3" i="4"/>
  <c r="V3" i="4"/>
  <c r="E3" i="4"/>
  <c r="W3" i="4"/>
  <c r="L4" i="4"/>
  <c r="P14" i="6" l="1"/>
  <c r="N14" i="6" s="1"/>
  <c r="C210" i="6"/>
  <c r="C207" i="6"/>
  <c r="C206" i="6"/>
  <c r="C205" i="6"/>
  <c r="C209" i="6"/>
  <c r="C208" i="6"/>
  <c r="N13" i="6"/>
  <c r="N12" i="6"/>
  <c r="A5" i="3"/>
  <c r="B5" i="3" s="1"/>
  <c r="Z5" i="3" s="1"/>
  <c r="O194" i="4"/>
  <c r="M196" i="4"/>
  <c r="D238" i="4"/>
  <c r="F106" i="1"/>
  <c r="F105" i="1"/>
  <c r="F104" i="1"/>
  <c r="H18" i="7"/>
  <c r="F107" i="1"/>
  <c r="F103" i="1"/>
  <c r="E101" i="7"/>
  <c r="C171" i="6"/>
  <c r="C170" i="6"/>
  <c r="E49" i="7"/>
  <c r="E18" i="7"/>
  <c r="T13" i="6"/>
  <c r="T12" i="6"/>
  <c r="C174" i="6"/>
  <c r="M13" i="6"/>
  <c r="D171" i="6"/>
  <c r="B48" i="8"/>
  <c r="C48" i="8" s="1"/>
  <c r="D174" i="6"/>
  <c r="B43" i="8"/>
  <c r="C43" i="8" s="1"/>
  <c r="B49" i="8"/>
  <c r="C49" i="8" s="1"/>
  <c r="B41" i="8"/>
  <c r="C41" i="8" s="1"/>
  <c r="B42" i="8"/>
  <c r="C42" i="8" s="1"/>
  <c r="B44" i="8"/>
  <c r="C44" i="8" s="1"/>
  <c r="D172" i="6"/>
  <c r="D170" i="6"/>
  <c r="D173" i="6"/>
  <c r="B46" i="8"/>
  <c r="C46" i="8" s="1"/>
  <c r="B47" i="8"/>
  <c r="C47" i="8" s="1"/>
  <c r="B45" i="8"/>
  <c r="C45" i="8" s="1"/>
  <c r="M12" i="6"/>
  <c r="W166" i="4"/>
  <c r="D163" i="4" s="1"/>
  <c r="F163" i="4" s="1"/>
  <c r="X166" i="4"/>
  <c r="E127" i="6"/>
  <c r="D128" i="6"/>
  <c r="W110" i="4"/>
  <c r="U111" i="4"/>
  <c r="X126" i="4"/>
  <c r="W126" i="4"/>
  <c r="D123" i="4" s="1"/>
  <c r="D118" i="4"/>
  <c r="F118" i="4" s="1"/>
  <c r="W235" i="4"/>
  <c r="U236" i="4"/>
  <c r="W200" i="4"/>
  <c r="U201" i="4"/>
  <c r="X215" i="4"/>
  <c r="V216" i="4"/>
  <c r="V226" i="4"/>
  <c r="X225" i="4"/>
  <c r="X190" i="4"/>
  <c r="V191" i="4"/>
  <c r="I31" i="6"/>
  <c r="C154" i="6" s="1"/>
  <c r="O19" i="6"/>
  <c r="M19" i="6" s="1"/>
  <c r="H31" i="6" s="1"/>
  <c r="E29" i="6"/>
  <c r="E35" i="6" s="1"/>
  <c r="C191" i="6"/>
  <c r="D153" i="6"/>
  <c r="C192" i="6"/>
  <c r="D64" i="8" l="1"/>
  <c r="E64" i="8" s="1"/>
  <c r="H64" i="8" s="1"/>
  <c r="D41" i="8"/>
  <c r="E41" i="8" s="1"/>
  <c r="G41" i="8" s="1"/>
  <c r="D52" i="8"/>
  <c r="E52" i="8" s="1"/>
  <c r="H52" i="8" s="1"/>
  <c r="D60" i="8"/>
  <c r="F60" i="8" s="1"/>
  <c r="I60" i="8" s="1"/>
  <c r="D48" i="8"/>
  <c r="F48" i="8" s="1"/>
  <c r="I48" i="8" s="1"/>
  <c r="D49" i="8"/>
  <c r="E49" i="8" s="1"/>
  <c r="G49" i="8" s="1"/>
  <c r="D44" i="8"/>
  <c r="F44" i="8" s="1"/>
  <c r="I44" i="8" s="1"/>
  <c r="D51" i="8"/>
  <c r="E51" i="8" s="1"/>
  <c r="G51" i="8" s="1"/>
  <c r="D58" i="8"/>
  <c r="E58" i="8" s="1"/>
  <c r="G58" i="8" s="1"/>
  <c r="D67" i="8"/>
  <c r="F67" i="8" s="1"/>
  <c r="I67" i="8" s="1"/>
  <c r="D47" i="8"/>
  <c r="E47" i="8" s="1"/>
  <c r="G47" i="8" s="1"/>
  <c r="D54" i="8"/>
  <c r="F54" i="8" s="1"/>
  <c r="I54" i="8" s="1"/>
  <c r="D42" i="8"/>
  <c r="E42" i="8" s="1"/>
  <c r="G42" i="8" s="1"/>
  <c r="D59" i="8"/>
  <c r="F59" i="8" s="1"/>
  <c r="I59" i="8" s="1"/>
  <c r="D61" i="8"/>
  <c r="E61" i="8" s="1"/>
  <c r="G61" i="8" s="1"/>
  <c r="D62" i="8"/>
  <c r="E62" i="8" s="1"/>
  <c r="H62" i="8" s="1"/>
  <c r="D66" i="8"/>
  <c r="F66" i="8" s="1"/>
  <c r="I66" i="8" s="1"/>
  <c r="D43" i="8"/>
  <c r="E43" i="8" s="1"/>
  <c r="G43" i="8" s="1"/>
  <c r="D53" i="8"/>
  <c r="F53" i="8" s="1"/>
  <c r="I53" i="8" s="1"/>
  <c r="D45" i="8"/>
  <c r="E45" i="8" s="1"/>
  <c r="G45" i="8" s="1"/>
  <c r="D56" i="8"/>
  <c r="F56" i="8" s="1"/>
  <c r="I56" i="8" s="1"/>
  <c r="D46" i="8"/>
  <c r="F46" i="8" s="1"/>
  <c r="I46" i="8" s="1"/>
  <c r="D65" i="8"/>
  <c r="E65" i="8" s="1"/>
  <c r="H65" i="8" s="1"/>
  <c r="M14" i="6"/>
  <c r="C10" i="1" s="1"/>
  <c r="S4" i="3" s="1"/>
  <c r="T4" i="3" s="1"/>
  <c r="U4" i="3" s="1"/>
  <c r="D50" i="8"/>
  <c r="F50" i="8" s="1"/>
  <c r="I50" i="8" s="1"/>
  <c r="D55" i="8"/>
  <c r="E55" i="8" s="1"/>
  <c r="G55" i="8" s="1"/>
  <c r="D63" i="8"/>
  <c r="E63" i="8" s="1"/>
  <c r="H63" i="8" s="1"/>
  <c r="D57" i="8"/>
  <c r="E57" i="8" s="1"/>
  <c r="H57" i="8" s="1"/>
  <c r="E11" i="7"/>
  <c r="C10" i="8"/>
  <c r="H41" i="7"/>
  <c r="E107" i="7"/>
  <c r="H5" i="7"/>
  <c r="P15" i="6"/>
  <c r="I41" i="7"/>
  <c r="C24" i="1"/>
  <c r="C30" i="1" s="1"/>
  <c r="P27" i="1" s="1"/>
  <c r="C204" i="6"/>
  <c r="AC5" i="3"/>
  <c r="P5" i="3"/>
  <c r="Q5" i="3" s="1"/>
  <c r="R5" i="3" s="1"/>
  <c r="AA5" i="3"/>
  <c r="A6" i="3"/>
  <c r="B6" i="3" s="1"/>
  <c r="AC6" i="3" s="1"/>
  <c r="AD5" i="3"/>
  <c r="E110" i="7"/>
  <c r="N196" i="4"/>
  <c r="P194" i="4"/>
  <c r="V111" i="4"/>
  <c r="X110" i="4"/>
  <c r="E128" i="6"/>
  <c r="D129" i="6"/>
  <c r="X200" i="4"/>
  <c r="V201" i="4"/>
  <c r="W226" i="4"/>
  <c r="X226" i="4"/>
  <c r="X191" i="4"/>
  <c r="W191" i="4"/>
  <c r="W216" i="4"/>
  <c r="D213" i="4" s="1"/>
  <c r="F213" i="4" s="1"/>
  <c r="X216" i="4"/>
  <c r="V236" i="4"/>
  <c r="X235" i="4"/>
  <c r="H28" i="6"/>
  <c r="C190" i="6" s="1"/>
  <c r="C153" i="6"/>
  <c r="C157" i="6"/>
  <c r="C151" i="6"/>
  <c r="C152" i="6"/>
  <c r="F43" i="8" l="1"/>
  <c r="I43" i="8" s="1"/>
  <c r="F58" i="8"/>
  <c r="I58" i="8" s="1"/>
  <c r="F47" i="8"/>
  <c r="I47" i="8" s="1"/>
  <c r="F64" i="8"/>
  <c r="I64" i="8" s="1"/>
  <c r="G64" i="8"/>
  <c r="J64" i="8" s="1"/>
  <c r="H58" i="8"/>
  <c r="K58" i="8" s="1"/>
  <c r="F41" i="8"/>
  <c r="I41" i="8" s="1"/>
  <c r="H41" i="8"/>
  <c r="J41" i="8" s="1"/>
  <c r="H47" i="8"/>
  <c r="J47" i="8" s="1"/>
  <c r="G52" i="8"/>
  <c r="K52" i="8" s="1"/>
  <c r="F52" i="8"/>
  <c r="I52" i="8" s="1"/>
  <c r="E67" i="8"/>
  <c r="H67" i="8" s="1"/>
  <c r="H43" i="8"/>
  <c r="J43" i="8" s="1"/>
  <c r="F45" i="8"/>
  <c r="I45" i="8" s="1"/>
  <c r="F57" i="8"/>
  <c r="I57" i="8" s="1"/>
  <c r="E66" i="8"/>
  <c r="H66" i="8" s="1"/>
  <c r="H45" i="8"/>
  <c r="J45" i="8" s="1"/>
  <c r="H49" i="8"/>
  <c r="J49" i="8" s="1"/>
  <c r="G57" i="8"/>
  <c r="K57" i="8" s="1"/>
  <c r="E56" i="8"/>
  <c r="G56" i="8" s="1"/>
  <c r="E54" i="8"/>
  <c r="H54" i="8" s="1"/>
  <c r="E60" i="8"/>
  <c r="H60" i="8" s="1"/>
  <c r="H42" i="8"/>
  <c r="J42" i="8" s="1"/>
  <c r="H61" i="8"/>
  <c r="K61" i="8" s="1"/>
  <c r="E46" i="8"/>
  <c r="G46" i="8" s="1"/>
  <c r="F49" i="8"/>
  <c r="I49" i="8" s="1"/>
  <c r="E48" i="8"/>
  <c r="G48" i="8" s="1"/>
  <c r="F42" i="8"/>
  <c r="I42" i="8" s="1"/>
  <c r="F61" i="8"/>
  <c r="I61" i="8" s="1"/>
  <c r="F62" i="8"/>
  <c r="I62" i="8" s="1"/>
  <c r="G65" i="8"/>
  <c r="K65" i="8" s="1"/>
  <c r="E44" i="8"/>
  <c r="G44" i="8" s="1"/>
  <c r="F51" i="8"/>
  <c r="I51" i="8" s="1"/>
  <c r="H51" i="8"/>
  <c r="J51" i="8" s="1"/>
  <c r="C11" i="8"/>
  <c r="G62" i="8"/>
  <c r="J62" i="8" s="1"/>
  <c r="E59" i="8"/>
  <c r="G59" i="8" s="1"/>
  <c r="M15" i="6"/>
  <c r="J42" i="7" s="1"/>
  <c r="E53" i="8"/>
  <c r="H53" i="8" s="1"/>
  <c r="F65" i="8"/>
  <c r="I65" i="8" s="1"/>
  <c r="E50" i="8"/>
  <c r="H50" i="8" s="1"/>
  <c r="F107" i="7"/>
  <c r="S5" i="3"/>
  <c r="T5" i="3" s="1"/>
  <c r="E5" i="3" s="1"/>
  <c r="H5" i="3" s="1"/>
  <c r="F55" i="8"/>
  <c r="I55" i="8" s="1"/>
  <c r="J41" i="7"/>
  <c r="F63" i="8"/>
  <c r="I63" i="8" s="1"/>
  <c r="G63" i="8"/>
  <c r="J63" i="8" s="1"/>
  <c r="E58" i="7"/>
  <c r="H65" i="7" s="1"/>
  <c r="H55" i="8"/>
  <c r="K55" i="8" s="1"/>
  <c r="H42" i="7"/>
  <c r="D23" i="7"/>
  <c r="E108" i="7"/>
  <c r="N15" i="6"/>
  <c r="P28" i="1"/>
  <c r="K47" i="1"/>
  <c r="H16" i="7"/>
  <c r="C194" i="6"/>
  <c r="H46" i="7"/>
  <c r="H13" i="7"/>
  <c r="D152" i="6"/>
  <c r="H68" i="7"/>
  <c r="H71" i="7"/>
  <c r="P6" i="3"/>
  <c r="Q6" i="3" s="1"/>
  <c r="R6" i="3" s="1"/>
  <c r="A7" i="3"/>
  <c r="B7" i="3" s="1"/>
  <c r="AD7" i="3" s="1"/>
  <c r="Z6" i="3"/>
  <c r="AA6" i="3"/>
  <c r="Q194" i="4"/>
  <c r="O196" i="4"/>
  <c r="AD6" i="3"/>
  <c r="D223" i="4"/>
  <c r="F223" i="4" s="1"/>
  <c r="X111" i="4"/>
  <c r="W111" i="4"/>
  <c r="D108" i="4" s="1"/>
  <c r="D188" i="4"/>
  <c r="F188" i="4" s="1"/>
  <c r="D130" i="6"/>
  <c r="E130" i="6" s="1"/>
  <c r="E129" i="6"/>
  <c r="S28" i="6"/>
  <c r="C193" i="6"/>
  <c r="X236" i="4"/>
  <c r="W236" i="4"/>
  <c r="W201" i="4"/>
  <c r="X201" i="4"/>
  <c r="M58" i="8" l="1"/>
  <c r="K64" i="8"/>
  <c r="L64" i="8" s="1"/>
  <c r="J58" i="8"/>
  <c r="L58" i="8" s="1"/>
  <c r="K41" i="8"/>
  <c r="M41" i="8" s="1"/>
  <c r="J52" i="8"/>
  <c r="L52" i="8" s="1"/>
  <c r="K47" i="8"/>
  <c r="M47" i="8" s="1"/>
  <c r="M52" i="8"/>
  <c r="G67" i="8"/>
  <c r="J67" i="8" s="1"/>
  <c r="K43" i="8"/>
  <c r="M43" i="8" s="1"/>
  <c r="M57" i="8"/>
  <c r="C155" i="6"/>
  <c r="C156" i="6" s="1"/>
  <c r="H46" i="8"/>
  <c r="J46" i="8" s="1"/>
  <c r="K51" i="8"/>
  <c r="L51" i="8" s="1"/>
  <c r="G66" i="8"/>
  <c r="J66" i="8" s="1"/>
  <c r="K45" i="8"/>
  <c r="M45" i="8" s="1"/>
  <c r="S6" i="3"/>
  <c r="T6" i="3" s="1"/>
  <c r="K49" i="8"/>
  <c r="M49" i="8" s="1"/>
  <c r="J57" i="8"/>
  <c r="L57" i="8" s="1"/>
  <c r="H56" i="8"/>
  <c r="J56" i="8" s="1"/>
  <c r="G60" i="8"/>
  <c r="J60" i="8" s="1"/>
  <c r="C149" i="6"/>
  <c r="H44" i="8"/>
  <c r="J44" i="8" s="1"/>
  <c r="J65" i="8"/>
  <c r="L65" i="8" s="1"/>
  <c r="K62" i="8"/>
  <c r="L62" i="8" s="1"/>
  <c r="G53" i="8"/>
  <c r="K53" i="8" s="1"/>
  <c r="M53" i="8" s="1"/>
  <c r="G54" i="8"/>
  <c r="J54" i="8" s="1"/>
  <c r="M61" i="8"/>
  <c r="K42" i="8"/>
  <c r="M42" i="8" s="1"/>
  <c r="J61" i="8"/>
  <c r="L61" i="8" s="1"/>
  <c r="M65" i="8"/>
  <c r="D5" i="3"/>
  <c r="F5" i="3" s="1"/>
  <c r="G50" i="8"/>
  <c r="J50" i="8" s="1"/>
  <c r="H48" i="8"/>
  <c r="J48" i="8" s="1"/>
  <c r="AH5" i="3"/>
  <c r="AG5" i="3"/>
  <c r="H59" i="8"/>
  <c r="J59" i="8" s="1"/>
  <c r="F108" i="7"/>
  <c r="H32" i="6"/>
  <c r="H29" i="6"/>
  <c r="H47" i="7" s="1"/>
  <c r="B191" i="6"/>
  <c r="M55" i="8"/>
  <c r="K63" i="8"/>
  <c r="M63" i="8" s="1"/>
  <c r="J55" i="8"/>
  <c r="L55" i="8" s="1"/>
  <c r="C150" i="6"/>
  <c r="B193" i="6"/>
  <c r="I32" i="6"/>
  <c r="B192" i="6"/>
  <c r="I42" i="7"/>
  <c r="I29" i="6"/>
  <c r="A8" i="3"/>
  <c r="B8" i="3" s="1"/>
  <c r="AC8" i="3" s="1"/>
  <c r="Z7" i="3"/>
  <c r="P7" i="3"/>
  <c r="Q7" i="3" s="1"/>
  <c r="R7" i="3" s="1"/>
  <c r="AC7" i="3"/>
  <c r="AA7" i="3"/>
  <c r="D198" i="4"/>
  <c r="F198" i="4" s="1"/>
  <c r="R194" i="4"/>
  <c r="P196" i="4"/>
  <c r="F108" i="4"/>
  <c r="D233" i="4"/>
  <c r="F233" i="4" s="1"/>
  <c r="K5" i="3"/>
  <c r="M64" i="8" l="1"/>
  <c r="L41" i="8"/>
  <c r="K46" i="8"/>
  <c r="M46" i="8" s="1"/>
  <c r="L47" i="8"/>
  <c r="K67" i="8"/>
  <c r="M67" i="8" s="1"/>
  <c r="L43" i="8"/>
  <c r="M51" i="8"/>
  <c r="K66" i="8"/>
  <c r="M66" i="8" s="1"/>
  <c r="L45" i="8"/>
  <c r="L49" i="8"/>
  <c r="M62" i="8"/>
  <c r="S7" i="3"/>
  <c r="T7" i="3" s="1"/>
  <c r="H30" i="6"/>
  <c r="H48" i="7" s="1"/>
  <c r="K54" i="8"/>
  <c r="M54" i="8" s="1"/>
  <c r="K56" i="8"/>
  <c r="M56" i="8" s="1"/>
  <c r="K60" i="8"/>
  <c r="M60" i="8" s="1"/>
  <c r="J53" i="8"/>
  <c r="L53" i="8" s="1"/>
  <c r="K50" i="8"/>
  <c r="M50" i="8" s="1"/>
  <c r="K44" i="8"/>
  <c r="M44" i="8" s="1"/>
  <c r="L63" i="8"/>
  <c r="G5" i="3"/>
  <c r="I5" i="3" s="1"/>
  <c r="K48" i="8"/>
  <c r="L48" i="8" s="1"/>
  <c r="S29" i="6"/>
  <c r="L42" i="8"/>
  <c r="K59" i="8"/>
  <c r="M59" i="8" s="1"/>
  <c r="B194" i="6"/>
  <c r="B190" i="6"/>
  <c r="H14" i="7"/>
  <c r="I14" i="7"/>
  <c r="I30" i="6"/>
  <c r="I47" i="7"/>
  <c r="P8" i="3"/>
  <c r="Q8" i="3" s="1"/>
  <c r="R8" i="3" s="1"/>
  <c r="AD8" i="3"/>
  <c r="AA8" i="3"/>
  <c r="Z8" i="3"/>
  <c r="A9" i="3"/>
  <c r="B9" i="3" s="1"/>
  <c r="AD9" i="3" s="1"/>
  <c r="S194" i="4"/>
  <c r="Q196" i="4"/>
  <c r="V5" i="3"/>
  <c r="AE5" i="3"/>
  <c r="L46" i="8" l="1"/>
  <c r="L67" i="8"/>
  <c r="L66" i="8"/>
  <c r="S8" i="3"/>
  <c r="T8" i="3" s="1"/>
  <c r="H15" i="7"/>
  <c r="H33" i="6"/>
  <c r="L54" i="8"/>
  <c r="L56" i="8"/>
  <c r="L60" i="8"/>
  <c r="L50" i="8"/>
  <c r="L59" i="8"/>
  <c r="J5" i="3"/>
  <c r="L5" i="3" s="1"/>
  <c r="M5" i="3"/>
  <c r="N5" i="3" s="1"/>
  <c r="M48" i="8"/>
  <c r="L44" i="8"/>
  <c r="I48" i="7"/>
  <c r="I15" i="7"/>
  <c r="S30" i="6"/>
  <c r="A10" i="3"/>
  <c r="B10" i="3" s="1"/>
  <c r="P10" i="3" s="1"/>
  <c r="Q10" i="3" s="1"/>
  <c r="R10" i="3" s="1"/>
  <c r="AC9" i="3"/>
  <c r="P9" i="3"/>
  <c r="Q9" i="3" s="1"/>
  <c r="R9" i="3" s="1"/>
  <c r="Z9" i="3"/>
  <c r="AA9" i="3"/>
  <c r="T194" i="4"/>
  <c r="R196" i="4"/>
  <c r="W5" i="3"/>
  <c r="S9" i="3" l="1"/>
  <c r="T9" i="3" s="1"/>
  <c r="AA10" i="3"/>
  <c r="AC10" i="3"/>
  <c r="AD10" i="3"/>
  <c r="Z10" i="3"/>
  <c r="A11" i="3"/>
  <c r="B11" i="3" s="1"/>
  <c r="AC11" i="3" s="1"/>
  <c r="U194" i="4"/>
  <c r="S196" i="4"/>
  <c r="U5" i="3"/>
  <c r="D6" i="3" s="1"/>
  <c r="AG6" i="3"/>
  <c r="AH6" i="3"/>
  <c r="S10" i="3" l="1"/>
  <c r="T10" i="3" s="1"/>
  <c r="AA11" i="3"/>
  <c r="P11" i="3"/>
  <c r="Q11" i="3" s="1"/>
  <c r="R11" i="3" s="1"/>
  <c r="S11" i="3" s="1"/>
  <c r="T11" i="3" s="1"/>
  <c r="Z11" i="3"/>
  <c r="A12" i="3"/>
  <c r="B12" i="3" s="1"/>
  <c r="Z12" i="3" s="1"/>
  <c r="AD11" i="3"/>
  <c r="T196" i="4"/>
  <c r="V194" i="4"/>
  <c r="E6" i="3"/>
  <c r="H6" i="3" s="1"/>
  <c r="K6" i="3" s="1"/>
  <c r="G6" i="3"/>
  <c r="AA12" i="3" l="1"/>
  <c r="AC12" i="3"/>
  <c r="A13" i="3"/>
  <c r="B13" i="3" s="1"/>
  <c r="A14" i="3" s="1"/>
  <c r="B14" i="3" s="1"/>
  <c r="A15" i="3" s="1"/>
  <c r="B15" i="3" s="1"/>
  <c r="P12" i="3"/>
  <c r="Q12" i="3" s="1"/>
  <c r="R12" i="3" s="1"/>
  <c r="S12" i="3" s="1"/>
  <c r="T12" i="3" s="1"/>
  <c r="AD12" i="3"/>
  <c r="U196" i="4"/>
  <c r="W194" i="4"/>
  <c r="F6" i="3"/>
  <c r="I6" i="3"/>
  <c r="J6" i="3"/>
  <c r="M6" i="3"/>
  <c r="N6" i="3" s="1"/>
  <c r="V6" i="3"/>
  <c r="AE6" i="3"/>
  <c r="P13" i="3" l="1"/>
  <c r="Q13" i="3" s="1"/>
  <c r="R13" i="3" s="1"/>
  <c r="S13" i="3" s="1"/>
  <c r="T13" i="3" s="1"/>
  <c r="AD13" i="3"/>
  <c r="AA14" i="3"/>
  <c r="AA13" i="3"/>
  <c r="AC14" i="3"/>
  <c r="Z14" i="3"/>
  <c r="Z13" i="3"/>
  <c r="AD14" i="3"/>
  <c r="P14" i="3"/>
  <c r="Q14" i="3" s="1"/>
  <c r="R14" i="3" s="1"/>
  <c r="AC13" i="3"/>
  <c r="V196" i="4"/>
  <c r="D193" i="4" s="1"/>
  <c r="W196" i="4"/>
  <c r="W6" i="3"/>
  <c r="AA15" i="3"/>
  <c r="P15" i="3"/>
  <c r="Q15" i="3" s="1"/>
  <c r="R15" i="3" s="1"/>
  <c r="AC15" i="3"/>
  <c r="Z15" i="3"/>
  <c r="AD15" i="3"/>
  <c r="A16" i="3"/>
  <c r="B16" i="3" s="1"/>
  <c r="L6" i="3"/>
  <c r="S14" i="3" l="1"/>
  <c r="S15" i="3" s="1"/>
  <c r="F193" i="4"/>
  <c r="M36" i="6"/>
  <c r="N34" i="1"/>
  <c r="AA16" i="3"/>
  <c r="AD16" i="3"/>
  <c r="AC16" i="3"/>
  <c r="P16" i="3"/>
  <c r="Q16" i="3" s="1"/>
  <c r="R16" i="3" s="1"/>
  <c r="Z16" i="3"/>
  <c r="A17" i="3"/>
  <c r="B17" i="3" s="1"/>
  <c r="AH7" i="3"/>
  <c r="AG7" i="3"/>
  <c r="U6" i="3"/>
  <c r="D7" i="3" s="1"/>
  <c r="Y5" i="3"/>
  <c r="T14" i="3" l="1"/>
  <c r="G7" i="3"/>
  <c r="P17" i="3"/>
  <c r="Q17" i="3" s="1"/>
  <c r="R17" i="3" s="1"/>
  <c r="A18" i="3"/>
  <c r="B18" i="3" s="1"/>
  <c r="AC17" i="3"/>
  <c r="Z17" i="3"/>
  <c r="AD17" i="3"/>
  <c r="AA17" i="3"/>
  <c r="T15" i="3"/>
  <c r="S16" i="3"/>
  <c r="E7" i="3"/>
  <c r="H7" i="3" s="1"/>
  <c r="AA18" i="3" l="1"/>
  <c r="P18" i="3"/>
  <c r="Q18" i="3" s="1"/>
  <c r="R18" i="3" s="1"/>
  <c r="AC18" i="3"/>
  <c r="A19" i="3"/>
  <c r="B19" i="3" s="1"/>
  <c r="AD18" i="3"/>
  <c r="Z18" i="3"/>
  <c r="F7" i="3"/>
  <c r="T16" i="3"/>
  <c r="S17" i="3"/>
  <c r="I7" i="3"/>
  <c r="J7" i="3"/>
  <c r="M7" i="3"/>
  <c r="N7" i="3" s="1"/>
  <c r="K7" i="3"/>
  <c r="P19" i="3" l="1"/>
  <c r="Q19" i="3" s="1"/>
  <c r="R19" i="3" s="1"/>
  <c r="A20" i="3"/>
  <c r="B20" i="3" s="1"/>
  <c r="Z19" i="3"/>
  <c r="AD19" i="3"/>
  <c r="AA19" i="3"/>
  <c r="AC19" i="3"/>
  <c r="L7" i="3"/>
  <c r="V7" i="3"/>
  <c r="W7" i="3" s="1"/>
  <c r="AE7" i="3"/>
  <c r="T17" i="3"/>
  <c r="S18" i="3"/>
  <c r="AH8" i="3" l="1"/>
  <c r="U7" i="3"/>
  <c r="D8" i="3" s="1"/>
  <c r="AG8" i="3"/>
  <c r="Y6" i="3"/>
  <c r="P20" i="3"/>
  <c r="Q20" i="3" s="1"/>
  <c r="R20" i="3" s="1"/>
  <c r="A21" i="3"/>
  <c r="B21" i="3" s="1"/>
  <c r="AA20" i="3"/>
  <c r="Z20" i="3"/>
  <c r="AD20" i="3"/>
  <c r="AC20" i="3"/>
  <c r="S19" i="3"/>
  <c r="T18" i="3"/>
  <c r="E8" i="3" l="1"/>
  <c r="H8" i="3" s="1"/>
  <c r="K8" i="3" s="1"/>
  <c r="AD21" i="3"/>
  <c r="P21" i="3"/>
  <c r="Q21" i="3" s="1"/>
  <c r="R21" i="3" s="1"/>
  <c r="AC21" i="3"/>
  <c r="AA21" i="3"/>
  <c r="Z21" i="3"/>
  <c r="A22" i="3"/>
  <c r="B22" i="3" s="1"/>
  <c r="G8" i="3"/>
  <c r="S20" i="3"/>
  <c r="T19" i="3"/>
  <c r="F8" i="3" l="1"/>
  <c r="AC22" i="3"/>
  <c r="A23" i="3"/>
  <c r="B23" i="3" s="1"/>
  <c r="AD22" i="3"/>
  <c r="AA22" i="3"/>
  <c r="Z22" i="3"/>
  <c r="P22" i="3"/>
  <c r="Q22" i="3" s="1"/>
  <c r="R22" i="3" s="1"/>
  <c r="I8" i="3"/>
  <c r="J8" i="3"/>
  <c r="M8" i="3"/>
  <c r="N8" i="3" s="1"/>
  <c r="V8" i="3"/>
  <c r="AE8" i="3"/>
  <c r="T20" i="3"/>
  <c r="S21" i="3"/>
  <c r="W8" i="3" l="1"/>
  <c r="A24" i="3"/>
  <c r="B24" i="3" s="1"/>
  <c r="Z23" i="3"/>
  <c r="AA23" i="3"/>
  <c r="AC23" i="3"/>
  <c r="AD23" i="3"/>
  <c r="P23" i="3"/>
  <c r="Q23" i="3" s="1"/>
  <c r="R23" i="3" s="1"/>
  <c r="T21" i="3"/>
  <c r="S22" i="3"/>
  <c r="L8" i="3"/>
  <c r="U8" i="3" l="1"/>
  <c r="D9" i="3" s="1"/>
  <c r="AH9" i="3"/>
  <c r="AG9" i="3"/>
  <c r="Y7" i="3"/>
  <c r="AA24" i="3"/>
  <c r="Z24" i="3"/>
  <c r="AC24" i="3"/>
  <c r="AD24" i="3"/>
  <c r="A25" i="3"/>
  <c r="B25" i="3" s="1"/>
  <c r="P24" i="3"/>
  <c r="Q24" i="3" s="1"/>
  <c r="R24" i="3" s="1"/>
  <c r="T22" i="3"/>
  <c r="S23" i="3"/>
  <c r="E9" i="3" l="1"/>
  <c r="H9" i="3" s="1"/>
  <c r="K9" i="3" s="1"/>
  <c r="P25" i="3"/>
  <c r="Q25" i="3" s="1"/>
  <c r="R25" i="3" s="1"/>
  <c r="Z25" i="3"/>
  <c r="A26" i="3"/>
  <c r="B26" i="3" s="1"/>
  <c r="AC25" i="3"/>
  <c r="AA25" i="3"/>
  <c r="AD25" i="3"/>
  <c r="S24" i="3"/>
  <c r="T23" i="3"/>
  <c r="G9" i="3"/>
  <c r="F9" i="3" l="1"/>
  <c r="AD26" i="3"/>
  <c r="P26" i="3"/>
  <c r="Q26" i="3" s="1"/>
  <c r="R26" i="3" s="1"/>
  <c r="A27" i="3"/>
  <c r="B27" i="3" s="1"/>
  <c r="AA26" i="3"/>
  <c r="Z26" i="3"/>
  <c r="AC26" i="3"/>
  <c r="S25" i="3"/>
  <c r="T24" i="3"/>
  <c r="V9" i="3"/>
  <c r="AE9" i="3"/>
  <c r="I9" i="3"/>
  <c r="J9" i="3"/>
  <c r="M9" i="3"/>
  <c r="N9" i="3" s="1"/>
  <c r="W9" i="3" l="1"/>
  <c r="P27" i="3"/>
  <c r="Q27" i="3" s="1"/>
  <c r="R27" i="3" s="1"/>
  <c r="Z27" i="3"/>
  <c r="AA27" i="3"/>
  <c r="AD27" i="3"/>
  <c r="A28" i="3"/>
  <c r="B28" i="3" s="1"/>
  <c r="AC27" i="3"/>
  <c r="S26" i="3"/>
  <c r="T25" i="3"/>
  <c r="L9" i="3"/>
  <c r="Z28" i="3" l="1"/>
  <c r="P28" i="3"/>
  <c r="Q28" i="3" s="1"/>
  <c r="R28" i="3" s="1"/>
  <c r="A29" i="3"/>
  <c r="B29" i="3" s="1"/>
  <c r="AA28" i="3"/>
  <c r="AC28" i="3"/>
  <c r="AD28" i="3"/>
  <c r="AH10" i="3"/>
  <c r="U9" i="3"/>
  <c r="E10" i="3" s="1"/>
  <c r="H10" i="3" s="1"/>
  <c r="AG10" i="3"/>
  <c r="Y8" i="3"/>
  <c r="T26" i="3"/>
  <c r="S27" i="3"/>
  <c r="K10" i="3" l="1"/>
  <c r="S28" i="3"/>
  <c r="T27" i="3"/>
  <c r="AC29" i="3"/>
  <c r="P29" i="3"/>
  <c r="Q29" i="3" s="1"/>
  <c r="R29" i="3" s="1"/>
  <c r="A30" i="3"/>
  <c r="B30" i="3" s="1"/>
  <c r="AD29" i="3"/>
  <c r="Z29" i="3"/>
  <c r="AA29" i="3"/>
  <c r="D10" i="3"/>
  <c r="Z30" i="3" l="1"/>
  <c r="P30" i="3"/>
  <c r="Q30" i="3" s="1"/>
  <c r="R30" i="3" s="1"/>
  <c r="AC30" i="3"/>
  <c r="AA30" i="3"/>
  <c r="AD30" i="3"/>
  <c r="A31" i="3"/>
  <c r="B31" i="3" s="1"/>
  <c r="F10" i="3"/>
  <c r="G10" i="3"/>
  <c r="V10" i="3"/>
  <c r="AE10" i="3"/>
  <c r="T28" i="3"/>
  <c r="S29" i="3"/>
  <c r="I10" i="3" l="1"/>
  <c r="W10" i="3" s="1"/>
  <c r="J10" i="3"/>
  <c r="M10" i="3"/>
  <c r="N10" i="3" s="1"/>
  <c r="AC31" i="3"/>
  <c r="A32" i="3"/>
  <c r="B32" i="3" s="1"/>
  <c r="Z31" i="3"/>
  <c r="P31" i="3"/>
  <c r="Q31" i="3" s="1"/>
  <c r="R31" i="3" s="1"/>
  <c r="AD31" i="3"/>
  <c r="AA31" i="3"/>
  <c r="S30" i="3"/>
  <c r="T29" i="3"/>
  <c r="A33" i="3" l="1"/>
  <c r="B33" i="3" s="1"/>
  <c r="Z32" i="3"/>
  <c r="P32" i="3"/>
  <c r="Q32" i="3" s="1"/>
  <c r="R32" i="3" s="1"/>
  <c r="AD32" i="3"/>
  <c r="AC32" i="3"/>
  <c r="AA32" i="3"/>
  <c r="L10" i="3"/>
  <c r="T30" i="3"/>
  <c r="S31" i="3"/>
  <c r="P33" i="3" l="1"/>
  <c r="Q33" i="3" s="1"/>
  <c r="R33" i="3" s="1"/>
  <c r="AC33" i="3"/>
  <c r="A34" i="3"/>
  <c r="B34" i="3" s="1"/>
  <c r="AA33" i="3"/>
  <c r="Z33" i="3"/>
  <c r="AD33" i="3"/>
  <c r="AG11" i="3"/>
  <c r="AH11" i="3"/>
  <c r="U10" i="3"/>
  <c r="E11" i="3" s="1"/>
  <c r="H11" i="3" s="1"/>
  <c r="Y9" i="3"/>
  <c r="T31" i="3"/>
  <c r="S32" i="3"/>
  <c r="K11" i="3" l="1"/>
  <c r="T32" i="3"/>
  <c r="S33" i="3"/>
  <c r="Z34" i="3"/>
  <c r="P34" i="3"/>
  <c r="Q34" i="3" s="1"/>
  <c r="R34" i="3" s="1"/>
  <c r="AC34" i="3"/>
  <c r="A35" i="3"/>
  <c r="B35" i="3" s="1"/>
  <c r="AA34" i="3"/>
  <c r="D11" i="3"/>
  <c r="S34" i="3" l="1"/>
  <c r="T33" i="3"/>
  <c r="V11" i="3"/>
  <c r="AE11" i="3"/>
  <c r="A36" i="3"/>
  <c r="B36" i="3" s="1"/>
  <c r="Z35" i="3"/>
  <c r="AD35" i="3"/>
  <c r="AA35" i="3"/>
  <c r="AC35" i="3"/>
  <c r="P35" i="3"/>
  <c r="Q35" i="3" s="1"/>
  <c r="R35" i="3" s="1"/>
  <c r="F11" i="3"/>
  <c r="G11" i="3"/>
  <c r="S35" i="3" l="1"/>
  <c r="T34" i="3"/>
  <c r="AD36" i="3"/>
  <c r="AA36" i="3"/>
  <c r="P36" i="3"/>
  <c r="Q36" i="3" s="1"/>
  <c r="R36" i="3" s="1"/>
  <c r="Z36" i="3"/>
  <c r="A37" i="3"/>
  <c r="B37" i="3" s="1"/>
  <c r="AC36" i="3"/>
  <c r="I11" i="3"/>
  <c r="W11" i="3" s="1"/>
  <c r="J11" i="3"/>
  <c r="M11" i="3"/>
  <c r="N11" i="3" s="1"/>
  <c r="AD37" i="3" l="1"/>
  <c r="Z37" i="3"/>
  <c r="AA37" i="3"/>
  <c r="AC37" i="3"/>
  <c r="P37" i="3"/>
  <c r="Q37" i="3" s="1"/>
  <c r="R37" i="3" s="1"/>
  <c r="A38" i="3"/>
  <c r="B38" i="3" s="1"/>
  <c r="L11" i="3"/>
  <c r="T35" i="3"/>
  <c r="S36" i="3"/>
  <c r="P38" i="3" l="1"/>
  <c r="Q38" i="3" s="1"/>
  <c r="R38" i="3" s="1"/>
  <c r="A39" i="3"/>
  <c r="B39" i="3" s="1"/>
  <c r="AC38" i="3"/>
  <c r="AA38" i="3"/>
  <c r="AD38" i="3"/>
  <c r="Z38" i="3"/>
  <c r="AH12" i="3"/>
  <c r="U11" i="3"/>
  <c r="E12" i="3" s="1"/>
  <c r="H12" i="3" s="1"/>
  <c r="AG12" i="3"/>
  <c r="Y10" i="3"/>
  <c r="T36" i="3"/>
  <c r="S37" i="3"/>
  <c r="D12" i="3" l="1"/>
  <c r="G12" i="3" s="1"/>
  <c r="S38" i="3"/>
  <c r="T37" i="3"/>
  <c r="K12" i="3"/>
  <c r="AC39" i="3"/>
  <c r="P39" i="3"/>
  <c r="Q39" i="3" s="1"/>
  <c r="R39" i="3" s="1"/>
  <c r="AD39" i="3"/>
  <c r="Z39" i="3"/>
  <c r="A40" i="3"/>
  <c r="B40" i="3" s="1"/>
  <c r="AA39" i="3"/>
  <c r="F12" i="3" l="1"/>
  <c r="P40" i="3"/>
  <c r="Q40" i="3" s="1"/>
  <c r="R40" i="3" s="1"/>
  <c r="AA40" i="3"/>
  <c r="A41" i="3"/>
  <c r="B41" i="3" s="1"/>
  <c r="AC40" i="3"/>
  <c r="Z40" i="3"/>
  <c r="AD40" i="3"/>
  <c r="V12" i="3"/>
  <c r="AE12" i="3"/>
  <c r="S39" i="3"/>
  <c r="T38" i="3"/>
  <c r="I12" i="3"/>
  <c r="J12" i="3"/>
  <c r="M12" i="3"/>
  <c r="N12" i="3" s="1"/>
  <c r="W12" i="3" l="1"/>
  <c r="P41" i="3"/>
  <c r="Q41" i="3" s="1"/>
  <c r="R41" i="3" s="1"/>
  <c r="AC41" i="3"/>
  <c r="A42" i="3"/>
  <c r="B42" i="3" s="1"/>
  <c r="AA41" i="3"/>
  <c r="Z41" i="3"/>
  <c r="AD41" i="3"/>
  <c r="L12" i="3"/>
  <c r="T39" i="3"/>
  <c r="S40" i="3"/>
  <c r="AG13" i="3" l="1"/>
  <c r="U12" i="3"/>
  <c r="E13" i="3" s="1"/>
  <c r="H13" i="3" s="1"/>
  <c r="AH13" i="3"/>
  <c r="Y11" i="3"/>
  <c r="P42" i="3"/>
  <c r="Q42" i="3" s="1"/>
  <c r="R42" i="3" s="1"/>
  <c r="Z42" i="3"/>
  <c r="AA42" i="3"/>
  <c r="A43" i="3"/>
  <c r="B43" i="3" s="1"/>
  <c r="AD42" i="3"/>
  <c r="AC42" i="3"/>
  <c r="S41" i="3"/>
  <c r="T40" i="3"/>
  <c r="D13" i="3" l="1"/>
  <c r="F13" i="3" s="1"/>
  <c r="K13" i="3"/>
  <c r="AC43" i="3"/>
  <c r="P43" i="3"/>
  <c r="Q43" i="3" s="1"/>
  <c r="R43" i="3" s="1"/>
  <c r="AD43" i="3"/>
  <c r="Z43" i="3"/>
  <c r="A44" i="3"/>
  <c r="B44" i="3" s="1"/>
  <c r="AA43" i="3"/>
  <c r="T41" i="3"/>
  <c r="S42" i="3"/>
  <c r="G13" i="3" l="1"/>
  <c r="I13" i="3" s="1"/>
  <c r="AA44" i="3"/>
  <c r="P44" i="3"/>
  <c r="Q44" i="3" s="1"/>
  <c r="R44" i="3" s="1"/>
  <c r="A45" i="3"/>
  <c r="B45" i="3" s="1"/>
  <c r="Z44" i="3"/>
  <c r="AC44" i="3"/>
  <c r="T42" i="3"/>
  <c r="S43" i="3"/>
  <c r="V13" i="3"/>
  <c r="AE13" i="3"/>
  <c r="J13" i="3" l="1"/>
  <c r="L13" i="3" s="1"/>
  <c r="M13" i="3"/>
  <c r="N13" i="3" s="1"/>
  <c r="P45" i="3"/>
  <c r="Q45" i="3" s="1"/>
  <c r="R45" i="3" s="1"/>
  <c r="A46" i="3"/>
  <c r="B46" i="3" s="1"/>
  <c r="AA45" i="3"/>
  <c r="AD45" i="3"/>
  <c r="Z45" i="3"/>
  <c r="AC45" i="3"/>
  <c r="S44" i="3"/>
  <c r="T43" i="3"/>
  <c r="W13" i="3"/>
  <c r="P46" i="3" l="1"/>
  <c r="Q46" i="3" s="1"/>
  <c r="R46" i="3" s="1"/>
  <c r="AA46" i="3"/>
  <c r="AD46" i="3"/>
  <c r="A47" i="3"/>
  <c r="B47" i="3" s="1"/>
  <c r="Z46" i="3"/>
  <c r="AC46" i="3"/>
  <c r="S45" i="3"/>
  <c r="T44" i="3"/>
  <c r="AH14" i="3"/>
  <c r="AG14" i="3"/>
  <c r="U13" i="3"/>
  <c r="D14" i="3" s="1"/>
  <c r="Y12" i="3"/>
  <c r="E14" i="3" l="1"/>
  <c r="H14" i="3" s="1"/>
  <c r="K14" i="3" s="1"/>
  <c r="AD47" i="3"/>
  <c r="AA47" i="3"/>
  <c r="P47" i="3"/>
  <c r="Q47" i="3" s="1"/>
  <c r="R47" i="3" s="1"/>
  <c r="A48" i="3"/>
  <c r="B48" i="3" s="1"/>
  <c r="Z47" i="3"/>
  <c r="AC47" i="3"/>
  <c r="S46" i="3"/>
  <c r="T45" i="3"/>
  <c r="G14" i="3"/>
  <c r="F14" i="3" l="1"/>
  <c r="AC48" i="3"/>
  <c r="Z48" i="3"/>
  <c r="AA48" i="3"/>
  <c r="A49" i="3"/>
  <c r="B49" i="3" s="1"/>
  <c r="AD48" i="3"/>
  <c r="P48" i="3"/>
  <c r="Q48" i="3" s="1"/>
  <c r="R48" i="3" s="1"/>
  <c r="V14" i="3"/>
  <c r="AE14" i="3"/>
  <c r="I14" i="3"/>
  <c r="J14" i="3"/>
  <c r="M14" i="3"/>
  <c r="N14" i="3" s="1"/>
  <c r="S47" i="3"/>
  <c r="T46" i="3"/>
  <c r="T47" i="3" l="1"/>
  <c r="S48" i="3"/>
  <c r="A50" i="3"/>
  <c r="B50" i="3" s="1"/>
  <c r="P49" i="3"/>
  <c r="Q49" i="3" s="1"/>
  <c r="R49" i="3" s="1"/>
  <c r="AC49" i="3"/>
  <c r="AD49" i="3"/>
  <c r="AA49" i="3"/>
  <c r="Z49" i="3"/>
  <c r="W14" i="3"/>
  <c r="L14" i="3"/>
  <c r="U14" i="3" l="1"/>
  <c r="E15" i="3" s="1"/>
  <c r="H15" i="3" s="1"/>
  <c r="AG15" i="3"/>
  <c r="AH15" i="3"/>
  <c r="Y13" i="3"/>
  <c r="Z50" i="3"/>
  <c r="AA50" i="3"/>
  <c r="P50" i="3"/>
  <c r="Q50" i="3" s="1"/>
  <c r="R50" i="3" s="1"/>
  <c r="A51" i="3"/>
  <c r="B51" i="3" s="1"/>
  <c r="AD50" i="3"/>
  <c r="AC50" i="3"/>
  <c r="T48" i="3"/>
  <c r="S49" i="3"/>
  <c r="D15" i="3" l="1"/>
  <c r="F15" i="3" s="1"/>
  <c r="AD51" i="3"/>
  <c r="A52" i="3"/>
  <c r="B52" i="3" s="1"/>
  <c r="P51" i="3"/>
  <c r="Q51" i="3" s="1"/>
  <c r="R51" i="3" s="1"/>
  <c r="AA51" i="3"/>
  <c r="Z51" i="3"/>
  <c r="AC51" i="3"/>
  <c r="K15" i="3"/>
  <c r="S50" i="3"/>
  <c r="T49" i="3"/>
  <c r="G15" i="3" l="1"/>
  <c r="I15" i="3" s="1"/>
  <c r="A53" i="3"/>
  <c r="B53" i="3" s="1"/>
  <c r="AC52" i="3"/>
  <c r="P52" i="3"/>
  <c r="Q52" i="3" s="1"/>
  <c r="R52" i="3" s="1"/>
  <c r="AA52" i="3"/>
  <c r="AD52" i="3"/>
  <c r="Z52" i="3"/>
  <c r="T50" i="3"/>
  <c r="S51" i="3"/>
  <c r="V15" i="3"/>
  <c r="AE15" i="3"/>
  <c r="J15" i="3" l="1"/>
  <c r="L15" i="3" s="1"/>
  <c r="M15" i="3"/>
  <c r="N15" i="3" s="1"/>
  <c r="A54" i="3"/>
  <c r="B54" i="3" s="1"/>
  <c r="AD53" i="3"/>
  <c r="P53" i="3"/>
  <c r="Q53" i="3" s="1"/>
  <c r="R53" i="3" s="1"/>
  <c r="AA53" i="3"/>
  <c r="AC53" i="3"/>
  <c r="Z53" i="3"/>
  <c r="T51" i="3"/>
  <c r="S52" i="3"/>
  <c r="W15" i="3"/>
  <c r="AC54" i="3" l="1"/>
  <c r="P54" i="3"/>
  <c r="Q54" i="3" s="1"/>
  <c r="R54" i="3" s="1"/>
  <c r="A55" i="3"/>
  <c r="B55" i="3" s="1"/>
  <c r="AA54" i="3"/>
  <c r="Z54" i="3"/>
  <c r="AD54" i="3"/>
  <c r="T52" i="3"/>
  <c r="S53" i="3"/>
  <c r="U15" i="3"/>
  <c r="D16" i="3" s="1"/>
  <c r="AG16" i="3"/>
  <c r="AH16" i="3"/>
  <c r="Y14" i="3"/>
  <c r="E16" i="3" l="1"/>
  <c r="H16" i="3" s="1"/>
  <c r="K16" i="3" s="1"/>
  <c r="G16" i="3"/>
  <c r="S54" i="3"/>
  <c r="T53" i="3"/>
  <c r="P55" i="3"/>
  <c r="Q55" i="3" s="1"/>
  <c r="R55" i="3" s="1"/>
  <c r="A56" i="3"/>
  <c r="B56" i="3" s="1"/>
  <c r="AC55" i="3"/>
  <c r="AA55" i="3"/>
  <c r="Z55" i="3"/>
  <c r="AD55" i="3"/>
  <c r="F16" i="3" l="1"/>
  <c r="P56" i="3"/>
  <c r="Q56" i="3" s="1"/>
  <c r="R56" i="3" s="1"/>
  <c r="AA56" i="3"/>
  <c r="A57" i="3"/>
  <c r="B57" i="3" s="1"/>
  <c r="AD56" i="3"/>
  <c r="Z56" i="3"/>
  <c r="AC56" i="3"/>
  <c r="I16" i="3"/>
  <c r="J16" i="3"/>
  <c r="M16" i="3"/>
  <c r="N16" i="3" s="1"/>
  <c r="S55" i="3"/>
  <c r="T54" i="3"/>
  <c r="V16" i="3"/>
  <c r="AE16" i="3"/>
  <c r="S56" i="3" l="1"/>
  <c r="T55" i="3"/>
  <c r="AD57" i="3"/>
  <c r="AA57" i="3"/>
  <c r="A58" i="3"/>
  <c r="B58" i="3" s="1"/>
  <c r="AC57" i="3"/>
  <c r="P57" i="3"/>
  <c r="Q57" i="3" s="1"/>
  <c r="R57" i="3" s="1"/>
  <c r="Z57" i="3"/>
  <c r="L16" i="3"/>
  <c r="W16" i="3"/>
  <c r="Z58" i="3" l="1"/>
  <c r="AD58" i="3"/>
  <c r="AA58" i="3"/>
  <c r="P58" i="3"/>
  <c r="Q58" i="3" s="1"/>
  <c r="R58" i="3" s="1"/>
  <c r="A59" i="3"/>
  <c r="B59" i="3" s="1"/>
  <c r="AC58" i="3"/>
  <c r="S57" i="3"/>
  <c r="T56" i="3"/>
  <c r="U16" i="3"/>
  <c r="D17" i="3" s="1"/>
  <c r="AG17" i="3"/>
  <c r="AH17" i="3"/>
  <c r="Y15" i="3"/>
  <c r="G17" i="3" l="1"/>
  <c r="P59" i="3"/>
  <c r="Q59" i="3" s="1"/>
  <c r="R59" i="3" s="1"/>
  <c r="A60" i="3"/>
  <c r="B60" i="3" s="1"/>
  <c r="AC59" i="3"/>
  <c r="AD59" i="3"/>
  <c r="Z59" i="3"/>
  <c r="AA59" i="3"/>
  <c r="E17" i="3"/>
  <c r="H17" i="3" s="1"/>
  <c r="S58" i="3"/>
  <c r="T57" i="3"/>
  <c r="AC60" i="3" l="1"/>
  <c r="AD60" i="3"/>
  <c r="Z60" i="3"/>
  <c r="P60" i="3"/>
  <c r="Q60" i="3" s="1"/>
  <c r="R60" i="3" s="1"/>
  <c r="A61" i="3"/>
  <c r="B61" i="3" s="1"/>
  <c r="AA60" i="3"/>
  <c r="F17" i="3"/>
  <c r="I17" i="3"/>
  <c r="J17" i="3"/>
  <c r="M17" i="3"/>
  <c r="N17" i="3" s="1"/>
  <c r="K17" i="3"/>
  <c r="S59" i="3"/>
  <c r="T58" i="3"/>
  <c r="A62" i="3" l="1"/>
  <c r="B62" i="3" s="1"/>
  <c r="Z61" i="3"/>
  <c r="AD61" i="3"/>
  <c r="AC61" i="3"/>
  <c r="P61" i="3"/>
  <c r="Q61" i="3" s="1"/>
  <c r="R61" i="3" s="1"/>
  <c r="AA61" i="3"/>
  <c r="T59" i="3"/>
  <c r="S60" i="3"/>
  <c r="V17" i="3"/>
  <c r="W17" i="3" s="1"/>
  <c r="AE17" i="3"/>
  <c r="L17" i="3"/>
  <c r="AD62" i="3" l="1"/>
  <c r="P62" i="3"/>
  <c r="Q62" i="3" s="1"/>
  <c r="R62" i="3" s="1"/>
  <c r="Z62" i="3"/>
  <c r="AA62" i="3"/>
  <c r="AC62" i="3"/>
  <c r="A63" i="3"/>
  <c r="B63" i="3" s="1"/>
  <c r="S61" i="3"/>
  <c r="T60" i="3"/>
  <c r="U17" i="3"/>
  <c r="E18" i="3" s="1"/>
  <c r="H18" i="3" s="1"/>
  <c r="AG18" i="3"/>
  <c r="AH18" i="3"/>
  <c r="Y16" i="3"/>
  <c r="D18" i="3" l="1"/>
  <c r="G18" i="3" s="1"/>
  <c r="K18" i="3"/>
  <c r="AC63" i="3"/>
  <c r="AA63" i="3"/>
  <c r="A64" i="3"/>
  <c r="B64" i="3" s="1"/>
  <c r="AD63" i="3"/>
  <c r="P63" i="3"/>
  <c r="Q63" i="3" s="1"/>
  <c r="R63" i="3" s="1"/>
  <c r="Z63" i="3"/>
  <c r="S62" i="3"/>
  <c r="T61" i="3"/>
  <c r="F18" i="3" l="1"/>
  <c r="I18" i="3"/>
  <c r="J18" i="3"/>
  <c r="M18" i="3"/>
  <c r="N18" i="3" s="1"/>
  <c r="S63" i="3"/>
  <c r="T62" i="3"/>
  <c r="A65" i="3"/>
  <c r="B65" i="3" s="1"/>
  <c r="Z64" i="3"/>
  <c r="AA64" i="3"/>
  <c r="AC64" i="3"/>
  <c r="AD64" i="3"/>
  <c r="P64" i="3"/>
  <c r="Q64" i="3" s="1"/>
  <c r="R64" i="3" s="1"/>
  <c r="V18" i="3"/>
  <c r="AE18" i="3"/>
  <c r="Z65" i="3" l="1"/>
  <c r="AA65" i="3"/>
  <c r="A66" i="3"/>
  <c r="B66" i="3" s="1"/>
  <c r="AC65" i="3"/>
  <c r="P65" i="3"/>
  <c r="Q65" i="3" s="1"/>
  <c r="R65" i="3" s="1"/>
  <c r="AD65" i="3"/>
  <c r="L18" i="3"/>
  <c r="W18" i="3"/>
  <c r="S64" i="3"/>
  <c r="T63" i="3"/>
  <c r="A67" i="3" l="1"/>
  <c r="B67" i="3" s="1"/>
  <c r="P66" i="3"/>
  <c r="Q66" i="3" s="1"/>
  <c r="R66" i="3" s="1"/>
  <c r="AC66" i="3"/>
  <c r="Z66" i="3"/>
  <c r="AD66" i="3"/>
  <c r="AA66" i="3"/>
  <c r="U18" i="3"/>
  <c r="D19" i="3" s="1"/>
  <c r="AH19" i="3"/>
  <c r="AG19" i="3"/>
  <c r="Y17" i="3"/>
  <c r="S65" i="3"/>
  <c r="T64" i="3"/>
  <c r="G19" i="3" l="1"/>
  <c r="E19" i="3"/>
  <c r="H19" i="3" s="1"/>
  <c r="AA67" i="3"/>
  <c r="Z67" i="3"/>
  <c r="AD67" i="3"/>
  <c r="AC67" i="3"/>
  <c r="P67" i="3"/>
  <c r="Q67" i="3" s="1"/>
  <c r="R67" i="3" s="1"/>
  <c r="A68" i="3"/>
  <c r="B68" i="3" s="1"/>
  <c r="S66" i="3"/>
  <c r="T65" i="3"/>
  <c r="F19" i="3" l="1"/>
  <c r="AD68" i="3"/>
  <c r="AC68" i="3"/>
  <c r="Z68" i="3"/>
  <c r="AA68" i="3"/>
  <c r="A69" i="3"/>
  <c r="B69" i="3" s="1"/>
  <c r="P68" i="3"/>
  <c r="Q68" i="3" s="1"/>
  <c r="R68" i="3" s="1"/>
  <c r="I19" i="3"/>
  <c r="J19" i="3"/>
  <c r="M19" i="3"/>
  <c r="N19" i="3" s="1"/>
  <c r="K19" i="3"/>
  <c r="S67" i="3"/>
  <c r="T66" i="3"/>
  <c r="Z69" i="3" l="1"/>
  <c r="AC69" i="3"/>
  <c r="P69" i="3"/>
  <c r="Q69" i="3" s="1"/>
  <c r="R69" i="3" s="1"/>
  <c r="AA69" i="3"/>
  <c r="AD69" i="3"/>
  <c r="A70" i="3"/>
  <c r="B70" i="3" s="1"/>
  <c r="V19" i="3"/>
  <c r="W19" i="3" s="1"/>
  <c r="AE19" i="3"/>
  <c r="L19" i="3"/>
  <c r="T67" i="3"/>
  <c r="S68" i="3"/>
  <c r="AH20" i="3" l="1"/>
  <c r="U19" i="3"/>
  <c r="E20" i="3" s="1"/>
  <c r="H20" i="3" s="1"/>
  <c r="AG20" i="3"/>
  <c r="Y18" i="3"/>
  <c r="A71" i="3"/>
  <c r="B71" i="3" s="1"/>
  <c r="AC70" i="3"/>
  <c r="AA70" i="3"/>
  <c r="AD70" i="3"/>
  <c r="P70" i="3"/>
  <c r="Q70" i="3" s="1"/>
  <c r="R70" i="3" s="1"/>
  <c r="Z70" i="3"/>
  <c r="S69" i="3"/>
  <c r="T68" i="3"/>
  <c r="D20" i="3" l="1"/>
  <c r="G20" i="3" s="1"/>
  <c r="K20" i="3"/>
  <c r="AA71" i="3"/>
  <c r="A72" i="3"/>
  <c r="B72" i="3" s="1"/>
  <c r="AC71" i="3"/>
  <c r="Z71" i="3"/>
  <c r="AD71" i="3"/>
  <c r="P71" i="3"/>
  <c r="Q71" i="3" s="1"/>
  <c r="R71" i="3" s="1"/>
  <c r="T69" i="3"/>
  <c r="S70" i="3"/>
  <c r="F20" i="3" l="1"/>
  <c r="A73" i="3"/>
  <c r="B73" i="3" s="1"/>
  <c r="Z72" i="3"/>
  <c r="P72" i="3"/>
  <c r="Q72" i="3" s="1"/>
  <c r="R72" i="3" s="1"/>
  <c r="AD72" i="3"/>
  <c r="AA72" i="3"/>
  <c r="AC72" i="3"/>
  <c r="T70" i="3"/>
  <c r="S71" i="3"/>
  <c r="V20" i="3"/>
  <c r="AE20" i="3"/>
  <c r="I20" i="3"/>
  <c r="J20" i="3"/>
  <c r="M20" i="3"/>
  <c r="N20" i="3" s="1"/>
  <c r="AC73" i="3" l="1"/>
  <c r="A74" i="3"/>
  <c r="B74" i="3" s="1"/>
  <c r="Z73" i="3"/>
  <c r="AA73" i="3"/>
  <c r="AD73" i="3"/>
  <c r="P73" i="3"/>
  <c r="Q73" i="3" s="1"/>
  <c r="R73" i="3" s="1"/>
  <c r="L20" i="3"/>
  <c r="T71" i="3"/>
  <c r="S72" i="3"/>
  <c r="W20" i="3"/>
  <c r="P74" i="3" l="1"/>
  <c r="Q74" i="3" s="1"/>
  <c r="R74" i="3" s="1"/>
  <c r="AC74" i="3"/>
  <c r="A75" i="3"/>
  <c r="B75" i="3" s="1"/>
  <c r="AA74" i="3"/>
  <c r="Z74" i="3"/>
  <c r="AG21" i="3"/>
  <c r="U20" i="3"/>
  <c r="E21" i="3" s="1"/>
  <c r="H21" i="3" s="1"/>
  <c r="AH21" i="3"/>
  <c r="Y19" i="3"/>
  <c r="S73" i="3"/>
  <c r="T72" i="3"/>
  <c r="D21" i="3" l="1"/>
  <c r="G21" i="3" s="1"/>
  <c r="K21" i="3"/>
  <c r="P75" i="3"/>
  <c r="Q75" i="3" s="1"/>
  <c r="R75" i="3" s="1"/>
  <c r="Z75" i="3"/>
  <c r="A76" i="3"/>
  <c r="B76" i="3" s="1"/>
  <c r="AA75" i="3"/>
  <c r="AC75" i="3"/>
  <c r="AD75" i="3"/>
  <c r="T73" i="3"/>
  <c r="S74" i="3"/>
  <c r="F21" i="3" l="1"/>
  <c r="AC76" i="3"/>
  <c r="Z76" i="3"/>
  <c r="AD76" i="3"/>
  <c r="AA76" i="3"/>
  <c r="A77" i="3"/>
  <c r="B77" i="3" s="1"/>
  <c r="P76" i="3"/>
  <c r="Q76" i="3" s="1"/>
  <c r="R76" i="3" s="1"/>
  <c r="I21" i="3"/>
  <c r="J21" i="3"/>
  <c r="M21" i="3"/>
  <c r="N21" i="3" s="1"/>
  <c r="S75" i="3"/>
  <c r="T74" i="3"/>
  <c r="V21" i="3"/>
  <c r="AE21" i="3"/>
  <c r="W21" i="3" l="1"/>
  <c r="S76" i="3"/>
  <c r="T75" i="3"/>
  <c r="A78" i="3"/>
  <c r="B78" i="3" s="1"/>
  <c r="AA77" i="3"/>
  <c r="Z77" i="3"/>
  <c r="P77" i="3"/>
  <c r="Q77" i="3" s="1"/>
  <c r="R77" i="3" s="1"/>
  <c r="AD77" i="3"/>
  <c r="AC77" i="3"/>
  <c r="L21" i="3"/>
  <c r="S77" i="3" l="1"/>
  <c r="T76" i="3"/>
  <c r="AG22" i="3"/>
  <c r="U21" i="3"/>
  <c r="D22" i="3" s="1"/>
  <c r="AH22" i="3"/>
  <c r="Y20" i="3"/>
  <c r="A79" i="3"/>
  <c r="B79" i="3" s="1"/>
  <c r="AD78" i="3"/>
  <c r="P78" i="3"/>
  <c r="Q78" i="3" s="1"/>
  <c r="R78" i="3" s="1"/>
  <c r="AC78" i="3"/>
  <c r="AA78" i="3"/>
  <c r="Z78" i="3"/>
  <c r="G22" i="3" l="1"/>
  <c r="T77" i="3"/>
  <c r="S78" i="3"/>
  <c r="E22" i="3"/>
  <c r="H22" i="3" s="1"/>
  <c r="P79" i="3"/>
  <c r="Q79" i="3" s="1"/>
  <c r="R79" i="3" s="1"/>
  <c r="A80" i="3"/>
  <c r="B80" i="3" s="1"/>
  <c r="Z79" i="3"/>
  <c r="AC79" i="3"/>
  <c r="AA79" i="3"/>
  <c r="AD79" i="3"/>
  <c r="AA80" i="3" l="1"/>
  <c r="A81" i="3"/>
  <c r="B81" i="3" s="1"/>
  <c r="AD80" i="3"/>
  <c r="AC80" i="3"/>
  <c r="P80" i="3"/>
  <c r="Q80" i="3" s="1"/>
  <c r="R80" i="3" s="1"/>
  <c r="Z80" i="3"/>
  <c r="I22" i="3"/>
  <c r="J22" i="3"/>
  <c r="M22" i="3"/>
  <c r="N22" i="3" s="1"/>
  <c r="K22" i="3"/>
  <c r="T78" i="3"/>
  <c r="S79" i="3"/>
  <c r="F22" i="3"/>
  <c r="L22" i="3" l="1"/>
  <c r="S80" i="3"/>
  <c r="T79" i="3"/>
  <c r="Z81" i="3"/>
  <c r="AC81" i="3"/>
  <c r="A82" i="3"/>
  <c r="B82" i="3" s="1"/>
  <c r="AA81" i="3"/>
  <c r="AD81" i="3"/>
  <c r="P81" i="3"/>
  <c r="Q81" i="3" s="1"/>
  <c r="R81" i="3" s="1"/>
  <c r="V22" i="3"/>
  <c r="W22" i="3" s="1"/>
  <c r="AE22" i="3"/>
  <c r="U22" i="3" l="1"/>
  <c r="E23" i="3" s="1"/>
  <c r="H23" i="3" s="1"/>
  <c r="AH23" i="3"/>
  <c r="AG23" i="3"/>
  <c r="Y21" i="3"/>
  <c r="A83" i="3"/>
  <c r="B83" i="3" s="1"/>
  <c r="P82" i="3"/>
  <c r="Q82" i="3" s="1"/>
  <c r="R82" i="3" s="1"/>
  <c r="AC82" i="3"/>
  <c r="AA82" i="3"/>
  <c r="Z82" i="3"/>
  <c r="AD82" i="3"/>
  <c r="T80" i="3"/>
  <c r="S81" i="3"/>
  <c r="AA83" i="3" l="1"/>
  <c r="AC83" i="3"/>
  <c r="P83" i="3"/>
  <c r="Q83" i="3" s="1"/>
  <c r="R83" i="3" s="1"/>
  <c r="Z83" i="3"/>
  <c r="AD83" i="3"/>
  <c r="A84" i="3"/>
  <c r="B84" i="3" s="1"/>
  <c r="K23" i="3"/>
  <c r="D23" i="3"/>
  <c r="T81" i="3"/>
  <c r="S82" i="3"/>
  <c r="AA84" i="3" l="1"/>
  <c r="Z84" i="3"/>
  <c r="A85" i="3"/>
  <c r="B85" i="3" s="1"/>
  <c r="P84" i="3"/>
  <c r="Q84" i="3" s="1"/>
  <c r="R84" i="3" s="1"/>
  <c r="AD84" i="3"/>
  <c r="AC84" i="3"/>
  <c r="T82" i="3"/>
  <c r="S83" i="3"/>
  <c r="V23" i="3"/>
  <c r="AE23" i="3"/>
  <c r="F23" i="3"/>
  <c r="G23" i="3"/>
  <c r="T83" i="3" l="1"/>
  <c r="S84" i="3"/>
  <c r="A86" i="3"/>
  <c r="B86" i="3" s="1"/>
  <c r="P85" i="3"/>
  <c r="Q85" i="3" s="1"/>
  <c r="R85" i="3" s="1"/>
  <c r="AA85" i="3"/>
  <c r="AC85" i="3"/>
  <c r="Z85" i="3"/>
  <c r="AD85" i="3"/>
  <c r="I23" i="3"/>
  <c r="W23" i="3" s="1"/>
  <c r="J23" i="3"/>
  <c r="M23" i="3"/>
  <c r="N23" i="3" s="1"/>
  <c r="AC86" i="3" l="1"/>
  <c r="Z86" i="3"/>
  <c r="P86" i="3"/>
  <c r="Q86" i="3" s="1"/>
  <c r="R86" i="3" s="1"/>
  <c r="AA86" i="3"/>
  <c r="A87" i="3"/>
  <c r="B87" i="3" s="1"/>
  <c r="AD86" i="3"/>
  <c r="S85" i="3"/>
  <c r="T84" i="3"/>
  <c r="L23" i="3"/>
  <c r="P87" i="3" l="1"/>
  <c r="Q87" i="3" s="1"/>
  <c r="R87" i="3" s="1"/>
  <c r="Z87" i="3"/>
  <c r="A88" i="3"/>
  <c r="B88" i="3" s="1"/>
  <c r="AD87" i="3"/>
  <c r="AC87" i="3"/>
  <c r="AA87" i="3"/>
  <c r="AG24" i="3"/>
  <c r="AH24" i="3"/>
  <c r="U23" i="3"/>
  <c r="E24" i="3" s="1"/>
  <c r="H24" i="3" s="1"/>
  <c r="Y22" i="3"/>
  <c r="T85" i="3"/>
  <c r="S86" i="3"/>
  <c r="D24" i="3" l="1"/>
  <c r="G24" i="3" s="1"/>
  <c r="T86" i="3"/>
  <c r="S87" i="3"/>
  <c r="A89" i="3"/>
  <c r="B89" i="3" s="1"/>
  <c r="P88" i="3"/>
  <c r="Q88" i="3" s="1"/>
  <c r="R88" i="3" s="1"/>
  <c r="AC88" i="3"/>
  <c r="Z88" i="3"/>
  <c r="AA88" i="3"/>
  <c r="AD88" i="3"/>
  <c r="K24" i="3"/>
  <c r="F24" i="3" l="1"/>
  <c r="AD89" i="3"/>
  <c r="AC89" i="3"/>
  <c r="P89" i="3"/>
  <c r="Q89" i="3" s="1"/>
  <c r="R89" i="3" s="1"/>
  <c r="Z89" i="3"/>
  <c r="AA89" i="3"/>
  <c r="A90" i="3"/>
  <c r="B90" i="3" s="1"/>
  <c r="S88" i="3"/>
  <c r="T87" i="3"/>
  <c r="V24" i="3"/>
  <c r="AE24" i="3"/>
  <c r="I24" i="3"/>
  <c r="J24" i="3"/>
  <c r="M24" i="3"/>
  <c r="N24" i="3" s="1"/>
  <c r="T88" i="3" l="1"/>
  <c r="S89" i="3"/>
  <c r="A91" i="3"/>
  <c r="B91" i="3" s="1"/>
  <c r="P90" i="3"/>
  <c r="Q90" i="3" s="1"/>
  <c r="R90" i="3" s="1"/>
  <c r="AC90" i="3"/>
  <c r="Z90" i="3"/>
  <c r="AA90" i="3"/>
  <c r="AD90" i="3"/>
  <c r="L24" i="3"/>
  <c r="W24" i="3"/>
  <c r="S90" i="3" l="1"/>
  <c r="T89" i="3"/>
  <c r="P91" i="3"/>
  <c r="Q91" i="3" s="1"/>
  <c r="R91" i="3" s="1"/>
  <c r="AD91" i="3"/>
  <c r="AA91" i="3"/>
  <c r="A92" i="3"/>
  <c r="B92" i="3" s="1"/>
  <c r="AC91" i="3"/>
  <c r="Z91" i="3"/>
  <c r="AH25" i="3"/>
  <c r="AG25" i="3"/>
  <c r="U24" i="3"/>
  <c r="D25" i="3" s="1"/>
  <c r="Y23" i="3"/>
  <c r="E25" i="3" l="1"/>
  <c r="H25" i="3" s="1"/>
  <c r="K25" i="3" s="1"/>
  <c r="G25" i="3"/>
  <c r="AA92" i="3"/>
  <c r="AD92" i="3"/>
  <c r="AC92" i="3"/>
  <c r="P92" i="3"/>
  <c r="Q92" i="3" s="1"/>
  <c r="R92" i="3" s="1"/>
  <c r="Z92" i="3"/>
  <c r="A93" i="3"/>
  <c r="B93" i="3" s="1"/>
  <c r="S91" i="3"/>
  <c r="T90" i="3"/>
  <c r="F25" i="3" l="1"/>
  <c r="S92" i="3"/>
  <c r="T91" i="3"/>
  <c r="Z93" i="3"/>
  <c r="AA93" i="3"/>
  <c r="P93" i="3"/>
  <c r="Q93" i="3" s="1"/>
  <c r="R93" i="3" s="1"/>
  <c r="A94" i="3"/>
  <c r="B94" i="3" s="1"/>
  <c r="AD93" i="3"/>
  <c r="AC93" i="3"/>
  <c r="I25" i="3"/>
  <c r="J25" i="3"/>
  <c r="M25" i="3"/>
  <c r="N25" i="3" s="1"/>
  <c r="V25" i="3"/>
  <c r="AE25" i="3"/>
  <c r="W25" i="3" l="1"/>
  <c r="AC94" i="3"/>
  <c r="Z94" i="3"/>
  <c r="AA94" i="3"/>
  <c r="AD94" i="3"/>
  <c r="A95" i="3"/>
  <c r="B95" i="3" s="1"/>
  <c r="P94" i="3"/>
  <c r="Q94" i="3" s="1"/>
  <c r="R94" i="3" s="1"/>
  <c r="L25" i="3"/>
  <c r="T92" i="3"/>
  <c r="S93" i="3"/>
  <c r="U25" i="3" l="1"/>
  <c r="E26" i="3" s="1"/>
  <c r="H26" i="3" s="1"/>
  <c r="AH26" i="3"/>
  <c r="AG26" i="3"/>
  <c r="Y24" i="3"/>
  <c r="Z95" i="3"/>
  <c r="A96" i="3"/>
  <c r="B96" i="3" s="1"/>
  <c r="P95" i="3"/>
  <c r="Q95" i="3" s="1"/>
  <c r="R95" i="3" s="1"/>
  <c r="AC95" i="3"/>
  <c r="AD95" i="3"/>
  <c r="AA95" i="3"/>
  <c r="S94" i="3"/>
  <c r="T93" i="3"/>
  <c r="D26" i="3" l="1"/>
  <c r="G26" i="3" s="1"/>
  <c r="K26" i="3"/>
  <c r="Z96" i="3"/>
  <c r="P96" i="3"/>
  <c r="Q96" i="3" s="1"/>
  <c r="R96" i="3" s="1"/>
  <c r="AC96" i="3"/>
  <c r="AA96" i="3"/>
  <c r="AD96" i="3"/>
  <c r="A97" i="3"/>
  <c r="B97" i="3" s="1"/>
  <c r="T94" i="3"/>
  <c r="S95" i="3"/>
  <c r="F26" i="3" l="1"/>
  <c r="I26" i="3"/>
  <c r="J26" i="3"/>
  <c r="M26" i="3"/>
  <c r="N26" i="3" s="1"/>
  <c r="S96" i="3"/>
  <c r="T95" i="3"/>
  <c r="A98" i="3"/>
  <c r="B98" i="3" s="1"/>
  <c r="P97" i="3"/>
  <c r="Q97" i="3" s="1"/>
  <c r="R97" i="3" s="1"/>
  <c r="AD97" i="3"/>
  <c r="AA97" i="3"/>
  <c r="Z97" i="3"/>
  <c r="AC97" i="3"/>
  <c r="V26" i="3"/>
  <c r="AE26" i="3"/>
  <c r="W26" i="3" l="1"/>
  <c r="A99" i="3"/>
  <c r="B99" i="3" s="1"/>
  <c r="AD98" i="3"/>
  <c r="AA98" i="3"/>
  <c r="P98" i="3"/>
  <c r="Q98" i="3" s="1"/>
  <c r="R98" i="3" s="1"/>
  <c r="Z98" i="3"/>
  <c r="AC98" i="3"/>
  <c r="S97" i="3"/>
  <c r="T96" i="3"/>
  <c r="L26" i="3"/>
  <c r="AD99" i="3" l="1"/>
  <c r="P99" i="3"/>
  <c r="Q99" i="3" s="1"/>
  <c r="R99" i="3" s="1"/>
  <c r="Z99" i="3"/>
  <c r="A100" i="3"/>
  <c r="B100" i="3" s="1"/>
  <c r="AC99" i="3"/>
  <c r="AA99" i="3"/>
  <c r="T97" i="3"/>
  <c r="S98" i="3"/>
  <c r="AH27" i="3"/>
  <c r="U26" i="3"/>
  <c r="D27" i="3" s="1"/>
  <c r="AG27" i="3"/>
  <c r="Y25" i="3"/>
  <c r="E27" i="3" l="1"/>
  <c r="H27" i="3" s="1"/>
  <c r="K27" i="3" s="1"/>
  <c r="G27" i="3"/>
  <c r="A101" i="3"/>
  <c r="B101" i="3" s="1"/>
  <c r="AA100" i="3"/>
  <c r="AC100" i="3"/>
  <c r="Z100" i="3"/>
  <c r="AD100" i="3"/>
  <c r="P100" i="3"/>
  <c r="Q100" i="3" s="1"/>
  <c r="R100" i="3" s="1"/>
  <c r="T98" i="3"/>
  <c r="S99" i="3"/>
  <c r="F27" i="3" l="1"/>
  <c r="AD101" i="3"/>
  <c r="Z101" i="3"/>
  <c r="P101" i="3"/>
  <c r="Q101" i="3" s="1"/>
  <c r="R101" i="3" s="1"/>
  <c r="AC101" i="3"/>
  <c r="A102" i="3"/>
  <c r="B102" i="3" s="1"/>
  <c r="AA101" i="3"/>
  <c r="I27" i="3"/>
  <c r="J27" i="3"/>
  <c r="M27" i="3"/>
  <c r="N27" i="3" s="1"/>
  <c r="V27" i="3"/>
  <c r="AE27" i="3"/>
  <c r="T99" i="3"/>
  <c r="S100" i="3"/>
  <c r="P102" i="3" l="1"/>
  <c r="Q102" i="3" s="1"/>
  <c r="R102" i="3" s="1"/>
  <c r="A103" i="3"/>
  <c r="B103" i="3" s="1"/>
  <c r="AA102" i="3"/>
  <c r="AC102" i="3"/>
  <c r="AD102" i="3"/>
  <c r="Z102" i="3"/>
  <c r="T100" i="3"/>
  <c r="S101" i="3"/>
  <c r="L27" i="3"/>
  <c r="W27" i="3"/>
  <c r="P103" i="3" l="1"/>
  <c r="Q103" i="3" s="1"/>
  <c r="R103" i="3" s="1"/>
  <c r="AD103" i="3"/>
  <c r="AC103" i="3"/>
  <c r="Z103" i="3"/>
  <c r="A104" i="3"/>
  <c r="B104" i="3" s="1"/>
  <c r="AA103" i="3"/>
  <c r="U27" i="3"/>
  <c r="E28" i="3" s="1"/>
  <c r="H28" i="3" s="1"/>
  <c r="AG28" i="3"/>
  <c r="AH28" i="3"/>
  <c r="Y26" i="3"/>
  <c r="S102" i="3"/>
  <c r="T101" i="3"/>
  <c r="D28" i="3" l="1"/>
  <c r="F28" i="3" s="1"/>
  <c r="K28" i="3"/>
  <c r="A105" i="3"/>
  <c r="B105" i="3" s="1"/>
  <c r="AC104" i="3"/>
  <c r="P104" i="3"/>
  <c r="Q104" i="3" s="1"/>
  <c r="R104" i="3" s="1"/>
  <c r="Z104" i="3"/>
  <c r="AA104" i="3"/>
  <c r="T102" i="3"/>
  <c r="S103" i="3"/>
  <c r="G28" i="3" l="1"/>
  <c r="I28" i="3" s="1"/>
  <c r="A106" i="3"/>
  <c r="B106" i="3" s="1"/>
  <c r="AA105" i="3"/>
  <c r="Z105" i="3"/>
  <c r="P105" i="3"/>
  <c r="Q105" i="3" s="1"/>
  <c r="R105" i="3" s="1"/>
  <c r="AC105" i="3"/>
  <c r="AD105" i="3"/>
  <c r="S104" i="3"/>
  <c r="T103" i="3"/>
  <c r="V28" i="3"/>
  <c r="AE28" i="3"/>
  <c r="M28" i="3" l="1"/>
  <c r="N28" i="3" s="1"/>
  <c r="J28" i="3"/>
  <c r="L28" i="3" s="1"/>
  <c r="W28" i="3"/>
  <c r="P106" i="3"/>
  <c r="Q106" i="3" s="1"/>
  <c r="R106" i="3" s="1"/>
  <c r="Z106" i="3"/>
  <c r="A107" i="3"/>
  <c r="B107" i="3" s="1"/>
  <c r="AD106" i="3"/>
  <c r="AC106" i="3"/>
  <c r="AA106" i="3"/>
  <c r="S105" i="3"/>
  <c r="T104" i="3"/>
  <c r="S106" i="3" l="1"/>
  <c r="T105" i="3"/>
  <c r="Z107" i="3"/>
  <c r="AA107" i="3"/>
  <c r="AC107" i="3"/>
  <c r="AD107" i="3"/>
  <c r="P107" i="3"/>
  <c r="Q107" i="3" s="1"/>
  <c r="R107" i="3" s="1"/>
  <c r="A108" i="3"/>
  <c r="B108" i="3" s="1"/>
  <c r="AH29" i="3"/>
  <c r="AG29" i="3"/>
  <c r="U28" i="3"/>
  <c r="E29" i="3" s="1"/>
  <c r="H29" i="3" s="1"/>
  <c r="Y27" i="3"/>
  <c r="D29" i="3" l="1"/>
  <c r="F29" i="3" s="1"/>
  <c r="Z108" i="3"/>
  <c r="AA108" i="3"/>
  <c r="A109" i="3"/>
  <c r="B109" i="3" s="1"/>
  <c r="AC108" i="3"/>
  <c r="P108" i="3"/>
  <c r="Q108" i="3" s="1"/>
  <c r="R108" i="3" s="1"/>
  <c r="AD108" i="3"/>
  <c r="S107" i="3"/>
  <c r="T106" i="3"/>
  <c r="K29" i="3"/>
  <c r="G29" i="3" l="1"/>
  <c r="M29" i="3" s="1"/>
  <c r="N29" i="3" s="1"/>
  <c r="A110" i="3"/>
  <c r="B110" i="3" s="1"/>
  <c r="AD109" i="3"/>
  <c r="P109" i="3"/>
  <c r="Q109" i="3" s="1"/>
  <c r="R109" i="3" s="1"/>
  <c r="AA109" i="3"/>
  <c r="Z109" i="3"/>
  <c r="AC109" i="3"/>
  <c r="V29" i="3"/>
  <c r="AE29" i="3"/>
  <c r="T107" i="3"/>
  <c r="S108" i="3"/>
  <c r="J29" i="3" l="1"/>
  <c r="L29" i="3" s="1"/>
  <c r="I29" i="3"/>
  <c r="W29" i="3" s="1"/>
  <c r="AA110" i="3"/>
  <c r="A111" i="3"/>
  <c r="B111" i="3" s="1"/>
  <c r="AD110" i="3"/>
  <c r="Z110" i="3"/>
  <c r="P110" i="3"/>
  <c r="Q110" i="3" s="1"/>
  <c r="R110" i="3" s="1"/>
  <c r="AC110" i="3"/>
  <c r="S109" i="3"/>
  <c r="T108" i="3"/>
  <c r="A112" i="3" l="1"/>
  <c r="B112" i="3" s="1"/>
  <c r="AA111" i="3"/>
  <c r="AC111" i="3"/>
  <c r="P111" i="3"/>
  <c r="Q111" i="3" s="1"/>
  <c r="R111" i="3" s="1"/>
  <c r="AD111" i="3"/>
  <c r="Z111" i="3"/>
  <c r="U29" i="3"/>
  <c r="D30" i="3" s="1"/>
  <c r="AG30" i="3"/>
  <c r="AH30" i="3"/>
  <c r="Y28" i="3"/>
  <c r="S110" i="3"/>
  <c r="T109" i="3"/>
  <c r="E30" i="3" l="1"/>
  <c r="H30" i="3" s="1"/>
  <c r="K30" i="3" s="1"/>
  <c r="AD112" i="3"/>
  <c r="P112" i="3"/>
  <c r="Q112" i="3" s="1"/>
  <c r="R112" i="3" s="1"/>
  <c r="AA112" i="3"/>
  <c r="Z112" i="3"/>
  <c r="A113" i="3"/>
  <c r="B113" i="3" s="1"/>
  <c r="AC112" i="3"/>
  <c r="G30" i="3"/>
  <c r="T110" i="3"/>
  <c r="S111" i="3"/>
  <c r="F30" i="3" l="1"/>
  <c r="AC113" i="3"/>
  <c r="AA113" i="3"/>
  <c r="A114" i="3"/>
  <c r="B114" i="3" s="1"/>
  <c r="Z113" i="3"/>
  <c r="P113" i="3"/>
  <c r="Q113" i="3" s="1"/>
  <c r="R113" i="3" s="1"/>
  <c r="AD113" i="3"/>
  <c r="S112" i="3"/>
  <c r="T111" i="3"/>
  <c r="I30" i="3"/>
  <c r="J30" i="3"/>
  <c r="M30" i="3"/>
  <c r="N30" i="3" s="1"/>
  <c r="V30" i="3"/>
  <c r="AE30" i="3"/>
  <c r="W30" i="3" l="1"/>
  <c r="P114" i="3"/>
  <c r="Q114" i="3" s="1"/>
  <c r="R114" i="3" s="1"/>
  <c r="AD114" i="3"/>
  <c r="Z114" i="3"/>
  <c r="AC114" i="3"/>
  <c r="AA114" i="3"/>
  <c r="A115" i="3"/>
  <c r="B115" i="3" s="1"/>
  <c r="S113" i="3"/>
  <c r="T112" i="3"/>
  <c r="L30" i="3"/>
  <c r="AA115" i="3" l="1"/>
  <c r="A116" i="3"/>
  <c r="B116" i="3" s="1"/>
  <c r="Z115" i="3"/>
  <c r="AD115" i="3"/>
  <c r="P115" i="3"/>
  <c r="Q115" i="3" s="1"/>
  <c r="R115" i="3" s="1"/>
  <c r="AC115" i="3"/>
  <c r="T113" i="3"/>
  <c r="S114" i="3"/>
  <c r="U30" i="3"/>
  <c r="D31" i="3" s="1"/>
  <c r="AG31" i="3"/>
  <c r="AH31" i="3"/>
  <c r="Y29" i="3"/>
  <c r="E31" i="3" l="1"/>
  <c r="H31" i="3" s="1"/>
  <c r="K31" i="3" s="1"/>
  <c r="AD116" i="3"/>
  <c r="P116" i="3"/>
  <c r="Q116" i="3" s="1"/>
  <c r="R116" i="3" s="1"/>
  <c r="AA116" i="3"/>
  <c r="A117" i="3"/>
  <c r="B117" i="3" s="1"/>
  <c r="AC116" i="3"/>
  <c r="Z116" i="3"/>
  <c r="S115" i="3"/>
  <c r="T114" i="3"/>
  <c r="G31" i="3"/>
  <c r="F31" i="3" l="1"/>
  <c r="A118" i="3"/>
  <c r="B118" i="3" s="1"/>
  <c r="Z117" i="3"/>
  <c r="P117" i="3"/>
  <c r="Q117" i="3" s="1"/>
  <c r="R117" i="3" s="1"/>
  <c r="AC117" i="3"/>
  <c r="AD117" i="3"/>
  <c r="AA117" i="3"/>
  <c r="S116" i="3"/>
  <c r="T115" i="3"/>
  <c r="V31" i="3"/>
  <c r="AE31" i="3"/>
  <c r="I31" i="3"/>
  <c r="J31" i="3"/>
  <c r="M31" i="3"/>
  <c r="N31" i="3" s="1"/>
  <c r="P118" i="3" l="1"/>
  <c r="Q118" i="3" s="1"/>
  <c r="R118" i="3" s="1"/>
  <c r="Z118" i="3"/>
  <c r="AA118" i="3"/>
  <c r="AC118" i="3"/>
  <c r="A119" i="3"/>
  <c r="B119" i="3" s="1"/>
  <c r="AD118" i="3"/>
  <c r="L31" i="3"/>
  <c r="S117" i="3"/>
  <c r="T116" i="3"/>
  <c r="W31" i="3"/>
  <c r="S118" i="3" l="1"/>
  <c r="T117" i="3"/>
  <c r="AG32" i="3"/>
  <c r="AH32" i="3"/>
  <c r="U31" i="3"/>
  <c r="E32" i="3" s="1"/>
  <c r="H32" i="3" s="1"/>
  <c r="Y30" i="3"/>
  <c r="AD119" i="3"/>
  <c r="Z119" i="3"/>
  <c r="AC119" i="3"/>
  <c r="P119" i="3"/>
  <c r="Q119" i="3" s="1"/>
  <c r="R119" i="3" s="1"/>
  <c r="AA119" i="3"/>
  <c r="A120" i="3"/>
  <c r="B120" i="3" s="1"/>
  <c r="D32" i="3" l="1"/>
  <c r="F32" i="3" s="1"/>
  <c r="K32" i="3"/>
  <c r="T118" i="3"/>
  <c r="S119" i="3"/>
  <c r="P120" i="3"/>
  <c r="Q120" i="3" s="1"/>
  <c r="R120" i="3" s="1"/>
  <c r="Z120" i="3"/>
  <c r="AA120" i="3"/>
  <c r="AD120" i="3"/>
  <c r="A121" i="3"/>
  <c r="B121" i="3" s="1"/>
  <c r="AC120" i="3"/>
  <c r="G32" i="3" l="1"/>
  <c r="I32" i="3" s="1"/>
  <c r="A122" i="3"/>
  <c r="B122" i="3" s="1"/>
  <c r="P121" i="3"/>
  <c r="Q121" i="3" s="1"/>
  <c r="R121" i="3" s="1"/>
  <c r="AC121" i="3"/>
  <c r="AD121" i="3"/>
  <c r="AA121" i="3"/>
  <c r="Z121" i="3"/>
  <c r="V32" i="3"/>
  <c r="AE32" i="3"/>
  <c r="T119" i="3"/>
  <c r="S120" i="3"/>
  <c r="M32" i="3" l="1"/>
  <c r="N32" i="3" s="1"/>
  <c r="J32" i="3"/>
  <c r="L32" i="3" s="1"/>
  <c r="W32" i="3"/>
  <c r="AD122" i="3"/>
  <c r="A123" i="3"/>
  <c r="B123" i="3" s="1"/>
  <c r="Z122" i="3"/>
  <c r="AA122" i="3"/>
  <c r="P122" i="3"/>
  <c r="Q122" i="3" s="1"/>
  <c r="R122" i="3" s="1"/>
  <c r="AC122" i="3"/>
  <c r="S121" i="3"/>
  <c r="T120" i="3"/>
  <c r="T121" i="3" l="1"/>
  <c r="S122" i="3"/>
  <c r="AA123" i="3"/>
  <c r="P123" i="3"/>
  <c r="Q123" i="3" s="1"/>
  <c r="R123" i="3" s="1"/>
  <c r="A124" i="3"/>
  <c r="B124" i="3" s="1"/>
  <c r="Z123" i="3"/>
  <c r="AC123" i="3"/>
  <c r="AD123" i="3"/>
  <c r="AH33" i="3"/>
  <c r="AG33" i="3"/>
  <c r="U32" i="3"/>
  <c r="D33" i="3" s="1"/>
  <c r="Y31" i="3"/>
  <c r="E33" i="3" l="1"/>
  <c r="H33" i="3" s="1"/>
  <c r="K33" i="3" s="1"/>
  <c r="A125" i="3"/>
  <c r="B125" i="3" s="1"/>
  <c r="P124" i="3"/>
  <c r="Q124" i="3" s="1"/>
  <c r="R124" i="3" s="1"/>
  <c r="AC124" i="3"/>
  <c r="AA124" i="3"/>
  <c r="Z124" i="3"/>
  <c r="AD124" i="3"/>
  <c r="T122" i="3"/>
  <c r="S123" i="3"/>
  <c r="G33" i="3"/>
  <c r="F33" i="3" l="1"/>
  <c r="P125" i="3"/>
  <c r="Q125" i="3" s="1"/>
  <c r="R125" i="3" s="1"/>
  <c r="Z125" i="3"/>
  <c r="AC125" i="3"/>
  <c r="AD125" i="3"/>
  <c r="AA125" i="3"/>
  <c r="A126" i="3"/>
  <c r="B126" i="3" s="1"/>
  <c r="S124" i="3"/>
  <c r="T123" i="3"/>
  <c r="I33" i="3"/>
  <c r="J33" i="3"/>
  <c r="M33" i="3"/>
  <c r="N33" i="3" s="1"/>
  <c r="V33" i="3"/>
  <c r="AE33" i="3"/>
  <c r="W33" i="3" l="1"/>
  <c r="AA126" i="3"/>
  <c r="P126" i="3"/>
  <c r="Q126" i="3" s="1"/>
  <c r="R126" i="3" s="1"/>
  <c r="Z126" i="3"/>
  <c r="AC126" i="3"/>
  <c r="A127" i="3"/>
  <c r="B127" i="3" s="1"/>
  <c r="AD126" i="3"/>
  <c r="L33" i="3"/>
  <c r="S125" i="3"/>
  <c r="T124" i="3"/>
  <c r="Z127" i="3" l="1"/>
  <c r="AC127" i="3"/>
  <c r="P127" i="3"/>
  <c r="Q127" i="3" s="1"/>
  <c r="R127" i="3" s="1"/>
  <c r="AD127" i="3"/>
  <c r="A128" i="3"/>
  <c r="B128" i="3" s="1"/>
  <c r="AA127" i="3"/>
  <c r="AH34" i="3"/>
  <c r="AG34" i="3"/>
  <c r="U33" i="3"/>
  <c r="D34" i="3" s="1"/>
  <c r="Y32" i="3"/>
  <c r="S126" i="3"/>
  <c r="T125" i="3"/>
  <c r="G34" i="3" l="1"/>
  <c r="P128" i="3"/>
  <c r="Q128" i="3" s="1"/>
  <c r="R128" i="3" s="1"/>
  <c r="Z128" i="3"/>
  <c r="AC128" i="3"/>
  <c r="AA128" i="3"/>
  <c r="A129" i="3"/>
  <c r="B129" i="3" s="1"/>
  <c r="AD128" i="3"/>
  <c r="E34" i="3"/>
  <c r="H34" i="3" s="1"/>
  <c r="S127" i="3"/>
  <c r="T126" i="3"/>
  <c r="F34" i="3" l="1"/>
  <c r="I34" i="3"/>
  <c r="J34" i="3"/>
  <c r="AD34" i="3" s="1"/>
  <c r="M34" i="3"/>
  <c r="N34" i="3" s="1"/>
  <c r="K34" i="3"/>
  <c r="P129" i="3"/>
  <c r="Q129" i="3" s="1"/>
  <c r="R129" i="3" s="1"/>
  <c r="AC129" i="3"/>
  <c r="Z129" i="3"/>
  <c r="A130" i="3"/>
  <c r="B130" i="3" s="1"/>
  <c r="AD129" i="3"/>
  <c r="AA129" i="3"/>
  <c r="S128" i="3"/>
  <c r="T127" i="3"/>
  <c r="A131" i="3" l="1"/>
  <c r="B131" i="3" s="1"/>
  <c r="AD130" i="3"/>
  <c r="P130" i="3"/>
  <c r="Q130" i="3" s="1"/>
  <c r="R130" i="3" s="1"/>
  <c r="AC130" i="3"/>
  <c r="AA130" i="3"/>
  <c r="Z130" i="3"/>
  <c r="S129" i="3"/>
  <c r="T128" i="3"/>
  <c r="V34" i="3"/>
  <c r="W34" i="3" s="1"/>
  <c r="AE34" i="3"/>
  <c r="L34" i="3"/>
  <c r="T129" i="3" l="1"/>
  <c r="S130" i="3"/>
  <c r="AC131" i="3"/>
  <c r="AD131" i="3"/>
  <c r="A132" i="3"/>
  <c r="B132" i="3" s="1"/>
  <c r="Z131" i="3"/>
  <c r="P131" i="3"/>
  <c r="Q131" i="3" s="1"/>
  <c r="R131" i="3" s="1"/>
  <c r="AA131" i="3"/>
  <c r="U34" i="3"/>
  <c r="E35" i="3" s="1"/>
  <c r="H35" i="3" s="1"/>
  <c r="AH35" i="3"/>
  <c r="AG35" i="3"/>
  <c r="Y33" i="3"/>
  <c r="D35" i="3" l="1"/>
  <c r="G35" i="3" s="1"/>
  <c r="AD132" i="3"/>
  <c r="P132" i="3"/>
  <c r="Q132" i="3" s="1"/>
  <c r="R132" i="3" s="1"/>
  <c r="Z132" i="3"/>
  <c r="A133" i="3"/>
  <c r="B133" i="3" s="1"/>
  <c r="AC132" i="3"/>
  <c r="AA132" i="3"/>
  <c r="T130" i="3"/>
  <c r="S131" i="3"/>
  <c r="K35" i="3"/>
  <c r="F35" i="3" l="1"/>
  <c r="AD133" i="3"/>
  <c r="P133" i="3"/>
  <c r="Q133" i="3" s="1"/>
  <c r="R133" i="3" s="1"/>
  <c r="Z133" i="3"/>
  <c r="A134" i="3"/>
  <c r="B134" i="3" s="1"/>
  <c r="AA133" i="3"/>
  <c r="AC133" i="3"/>
  <c r="S132" i="3"/>
  <c r="T131" i="3"/>
  <c r="I35" i="3"/>
  <c r="J35" i="3"/>
  <c r="M35" i="3"/>
  <c r="N35" i="3" s="1"/>
  <c r="V35" i="3"/>
  <c r="AE35" i="3"/>
  <c r="W35" i="3" l="1"/>
  <c r="AC134" i="3"/>
  <c r="AA134" i="3"/>
  <c r="A135" i="3"/>
  <c r="B135" i="3" s="1"/>
  <c r="P134" i="3"/>
  <c r="Q134" i="3" s="1"/>
  <c r="R134" i="3" s="1"/>
  <c r="Z134" i="3"/>
  <c r="L35" i="3"/>
  <c r="S133" i="3"/>
  <c r="T132" i="3"/>
  <c r="AD135" i="3" l="1"/>
  <c r="P135" i="3"/>
  <c r="Q135" i="3" s="1"/>
  <c r="R135" i="3" s="1"/>
  <c r="A136" i="3"/>
  <c r="B136" i="3" s="1"/>
  <c r="AA135" i="3"/>
  <c r="AC135" i="3"/>
  <c r="Z135" i="3"/>
  <c r="S134" i="3"/>
  <c r="T133" i="3"/>
  <c r="U35" i="3"/>
  <c r="E36" i="3" s="1"/>
  <c r="H36" i="3" s="1"/>
  <c r="AG36" i="3"/>
  <c r="AH36" i="3"/>
  <c r="Y34" i="3"/>
  <c r="K36" i="3" l="1"/>
  <c r="A137" i="3"/>
  <c r="B137" i="3" s="1"/>
  <c r="P136" i="3"/>
  <c r="Q136" i="3" s="1"/>
  <c r="R136" i="3" s="1"/>
  <c r="AA136" i="3"/>
  <c r="Z136" i="3"/>
  <c r="AD136" i="3"/>
  <c r="AC136" i="3"/>
  <c r="T134" i="3"/>
  <c r="S135" i="3"/>
  <c r="D36" i="3"/>
  <c r="T135" i="3" l="1"/>
  <c r="S136" i="3"/>
  <c r="F36" i="3"/>
  <c r="G36" i="3"/>
  <c r="P137" i="3"/>
  <c r="Q137" i="3" s="1"/>
  <c r="R137" i="3" s="1"/>
  <c r="Z137" i="3"/>
  <c r="AA137" i="3"/>
  <c r="AD137" i="3"/>
  <c r="AC137" i="3"/>
  <c r="A138" i="3"/>
  <c r="B138" i="3" s="1"/>
  <c r="V36" i="3"/>
  <c r="AE36" i="3"/>
  <c r="A139" i="3" l="1"/>
  <c r="B139" i="3" s="1"/>
  <c r="AC138" i="3"/>
  <c r="P138" i="3"/>
  <c r="Q138" i="3" s="1"/>
  <c r="R138" i="3" s="1"/>
  <c r="AA138" i="3"/>
  <c r="AD138" i="3"/>
  <c r="Z138" i="3"/>
  <c r="S137" i="3"/>
  <c r="T136" i="3"/>
  <c r="I36" i="3"/>
  <c r="W36" i="3" s="1"/>
  <c r="J36" i="3"/>
  <c r="M36" i="3"/>
  <c r="N36" i="3" s="1"/>
  <c r="L36" i="3" l="1"/>
  <c r="T137" i="3"/>
  <c r="S138" i="3"/>
  <c r="A140" i="3"/>
  <c r="B140" i="3" s="1"/>
  <c r="AA139" i="3"/>
  <c r="AD139" i="3"/>
  <c r="AC139" i="3"/>
  <c r="Z139" i="3"/>
  <c r="P139" i="3"/>
  <c r="Q139" i="3" s="1"/>
  <c r="R139" i="3" s="1"/>
  <c r="P140" i="3" l="1"/>
  <c r="Q140" i="3" s="1"/>
  <c r="R140" i="3" s="1"/>
  <c r="AD140" i="3"/>
  <c r="A141" i="3"/>
  <c r="B141" i="3" s="1"/>
  <c r="AA140" i="3"/>
  <c r="Z140" i="3"/>
  <c r="AC140" i="3"/>
  <c r="AH37" i="3"/>
  <c r="AG37" i="3"/>
  <c r="U36" i="3"/>
  <c r="E37" i="3" s="1"/>
  <c r="H37" i="3" s="1"/>
  <c r="Y35" i="3"/>
  <c r="S139" i="3"/>
  <c r="T138" i="3"/>
  <c r="D37" i="3" l="1"/>
  <c r="G37" i="3" s="1"/>
  <c r="A142" i="3"/>
  <c r="B142" i="3" s="1"/>
  <c r="P141" i="3"/>
  <c r="Q141" i="3" s="1"/>
  <c r="R141" i="3" s="1"/>
  <c r="AC141" i="3"/>
  <c r="Z141" i="3"/>
  <c r="AD141" i="3"/>
  <c r="AA141" i="3"/>
  <c r="K37" i="3"/>
  <c r="S140" i="3"/>
  <c r="T139" i="3"/>
  <c r="F37" i="3" l="1"/>
  <c r="A143" i="3"/>
  <c r="B143" i="3" s="1"/>
  <c r="AA142" i="3"/>
  <c r="P142" i="3"/>
  <c r="Q142" i="3" s="1"/>
  <c r="R142" i="3" s="1"/>
  <c r="AC142" i="3"/>
  <c r="AD142" i="3"/>
  <c r="Z142" i="3"/>
  <c r="I37" i="3"/>
  <c r="J37" i="3"/>
  <c r="M37" i="3"/>
  <c r="N37" i="3" s="1"/>
  <c r="V37" i="3"/>
  <c r="AE37" i="3"/>
  <c r="T140" i="3"/>
  <c r="S141" i="3"/>
  <c r="W37" i="3" l="1"/>
  <c r="P143" i="3"/>
  <c r="Q143" i="3" s="1"/>
  <c r="R143" i="3" s="1"/>
  <c r="AC143" i="3"/>
  <c r="A144" i="3"/>
  <c r="B144" i="3" s="1"/>
  <c r="AD143" i="3"/>
  <c r="AA143" i="3"/>
  <c r="Z143" i="3"/>
  <c r="T141" i="3"/>
  <c r="S142" i="3"/>
  <c r="L37" i="3"/>
  <c r="T142" i="3" l="1"/>
  <c r="S143" i="3"/>
  <c r="Z144" i="3"/>
  <c r="P144" i="3"/>
  <c r="Q144" i="3" s="1"/>
  <c r="R144" i="3" s="1"/>
  <c r="A145" i="3"/>
  <c r="B145" i="3" s="1"/>
  <c r="AA144" i="3"/>
  <c r="AC144" i="3"/>
  <c r="AH38" i="3"/>
  <c r="AG38" i="3"/>
  <c r="U37" i="3"/>
  <c r="D38" i="3" s="1"/>
  <c r="Y36" i="3"/>
  <c r="G38" i="3" l="1"/>
  <c r="P145" i="3"/>
  <c r="Q145" i="3" s="1"/>
  <c r="R145" i="3" s="1"/>
  <c r="A146" i="3"/>
  <c r="B146" i="3" s="1"/>
  <c r="Z145" i="3"/>
  <c r="AA145" i="3"/>
  <c r="AC145" i="3"/>
  <c r="AD145" i="3"/>
  <c r="T143" i="3"/>
  <c r="S144" i="3"/>
  <c r="E38" i="3"/>
  <c r="H38" i="3" s="1"/>
  <c r="Z146" i="3" l="1"/>
  <c r="A147" i="3"/>
  <c r="B147" i="3" s="1"/>
  <c r="AA146" i="3"/>
  <c r="AD146" i="3"/>
  <c r="P146" i="3"/>
  <c r="Q146" i="3" s="1"/>
  <c r="R146" i="3" s="1"/>
  <c r="AC146" i="3"/>
  <c r="K38" i="3"/>
  <c r="F38" i="3"/>
  <c r="I38" i="3"/>
  <c r="J38" i="3"/>
  <c r="M38" i="3"/>
  <c r="N38" i="3" s="1"/>
  <c r="T144" i="3"/>
  <c r="S145" i="3"/>
  <c r="Z147" i="3" l="1"/>
  <c r="P147" i="3"/>
  <c r="Q147" i="3" s="1"/>
  <c r="R147" i="3" s="1"/>
  <c r="AC147" i="3"/>
  <c r="A148" i="3"/>
  <c r="B148" i="3" s="1"/>
  <c r="AD147" i="3"/>
  <c r="AA147" i="3"/>
  <c r="S146" i="3"/>
  <c r="T145" i="3"/>
  <c r="L38" i="3"/>
  <c r="V38" i="3"/>
  <c r="W38" i="3" s="1"/>
  <c r="AE38" i="3"/>
  <c r="AD148" i="3" l="1"/>
  <c r="P148" i="3"/>
  <c r="Q148" i="3" s="1"/>
  <c r="R148" i="3" s="1"/>
  <c r="Z148" i="3"/>
  <c r="AC148" i="3"/>
  <c r="AA148" i="3"/>
  <c r="A149" i="3"/>
  <c r="B149" i="3" s="1"/>
  <c r="S147" i="3"/>
  <c r="T146" i="3"/>
  <c r="U38" i="3"/>
  <c r="D39" i="3" s="1"/>
  <c r="AG39" i="3"/>
  <c r="AH39" i="3"/>
  <c r="Y37" i="3"/>
  <c r="G39" i="3" l="1"/>
  <c r="AD149" i="3"/>
  <c r="AC149" i="3"/>
  <c r="P149" i="3"/>
  <c r="Q149" i="3" s="1"/>
  <c r="R149" i="3" s="1"/>
  <c r="AA149" i="3"/>
  <c r="Z149" i="3"/>
  <c r="A150" i="3"/>
  <c r="B150" i="3" s="1"/>
  <c r="T147" i="3"/>
  <c r="S148" i="3"/>
  <c r="E39" i="3"/>
  <c r="H39" i="3" s="1"/>
  <c r="AA150" i="3" l="1"/>
  <c r="P150" i="3"/>
  <c r="Q150" i="3" s="1"/>
  <c r="R150" i="3" s="1"/>
  <c r="Z150" i="3"/>
  <c r="AD150" i="3"/>
  <c r="AC150" i="3"/>
  <c r="A151" i="3"/>
  <c r="B151" i="3" s="1"/>
  <c r="F39" i="3"/>
  <c r="K39" i="3"/>
  <c r="I39" i="3"/>
  <c r="J39" i="3"/>
  <c r="M39" i="3"/>
  <c r="N39" i="3" s="1"/>
  <c r="T148" i="3"/>
  <c r="S149" i="3"/>
  <c r="S150" i="3" l="1"/>
  <c r="T149" i="3"/>
  <c r="P151" i="3"/>
  <c r="Q151" i="3" s="1"/>
  <c r="R151" i="3" s="1"/>
  <c r="AC151" i="3"/>
  <c r="AD151" i="3"/>
  <c r="Z151" i="3"/>
  <c r="A152" i="3"/>
  <c r="B152" i="3" s="1"/>
  <c r="AA151" i="3"/>
  <c r="L39" i="3"/>
  <c r="V39" i="3"/>
  <c r="W39" i="3" s="1"/>
  <c r="AE39" i="3"/>
  <c r="S151" i="3" l="1"/>
  <c r="T150" i="3"/>
  <c r="A153" i="3"/>
  <c r="B153" i="3" s="1"/>
  <c r="AC152" i="3"/>
  <c r="AA152" i="3"/>
  <c r="P152" i="3"/>
  <c r="Q152" i="3" s="1"/>
  <c r="R152" i="3" s="1"/>
  <c r="AD152" i="3"/>
  <c r="Z152" i="3"/>
  <c r="U39" i="3"/>
  <c r="E40" i="3" s="1"/>
  <c r="H40" i="3" s="1"/>
  <c r="AH40" i="3"/>
  <c r="AG40" i="3"/>
  <c r="Y38" i="3"/>
  <c r="D40" i="3" l="1"/>
  <c r="F40" i="3" s="1"/>
  <c r="A154" i="3"/>
  <c r="B154" i="3" s="1"/>
  <c r="P153" i="3"/>
  <c r="Q153" i="3" s="1"/>
  <c r="R153" i="3" s="1"/>
  <c r="AD153" i="3"/>
  <c r="Z153" i="3"/>
  <c r="AA153" i="3"/>
  <c r="AC153" i="3"/>
  <c r="S152" i="3"/>
  <c r="T151" i="3"/>
  <c r="K40" i="3"/>
  <c r="G40" i="3" l="1"/>
  <c r="M40" i="3" s="1"/>
  <c r="N40" i="3" s="1"/>
  <c r="P154" i="3"/>
  <c r="Q154" i="3" s="1"/>
  <c r="R154" i="3" s="1"/>
  <c r="AD154" i="3"/>
  <c r="Z154" i="3"/>
  <c r="AA154" i="3"/>
  <c r="A155" i="3"/>
  <c r="B155" i="3" s="1"/>
  <c r="AC154" i="3"/>
  <c r="S153" i="3"/>
  <c r="T152" i="3"/>
  <c r="V40" i="3"/>
  <c r="AE40" i="3"/>
  <c r="I40" i="3" l="1"/>
  <c r="W40" i="3" s="1"/>
  <c r="J40" i="3"/>
  <c r="L40" i="3" s="1"/>
  <c r="Z155" i="3"/>
  <c r="P155" i="3"/>
  <c r="Q155" i="3" s="1"/>
  <c r="R155" i="3" s="1"/>
  <c r="A156" i="3"/>
  <c r="B156" i="3" s="1"/>
  <c r="AD155" i="3"/>
  <c r="AC155" i="3"/>
  <c r="AA155" i="3"/>
  <c r="T153" i="3"/>
  <c r="S154" i="3"/>
  <c r="U40" i="3" l="1"/>
  <c r="D41" i="3" s="1"/>
  <c r="AG41" i="3"/>
  <c r="AH41" i="3"/>
  <c r="Y39" i="3"/>
  <c r="S155" i="3"/>
  <c r="T154" i="3"/>
  <c r="AA156" i="3"/>
  <c r="A157" i="3"/>
  <c r="B157" i="3" s="1"/>
  <c r="AD156" i="3"/>
  <c r="Z156" i="3"/>
  <c r="AC156" i="3"/>
  <c r="P156" i="3"/>
  <c r="Q156" i="3" s="1"/>
  <c r="R156" i="3" s="1"/>
  <c r="G41" i="3" l="1"/>
  <c r="A158" i="3"/>
  <c r="B158" i="3" s="1"/>
  <c r="AD157" i="3"/>
  <c r="P157" i="3"/>
  <c r="Q157" i="3" s="1"/>
  <c r="R157" i="3" s="1"/>
  <c r="AA157" i="3"/>
  <c r="Z157" i="3"/>
  <c r="AC157" i="3"/>
  <c r="E41" i="3"/>
  <c r="H41" i="3" s="1"/>
  <c r="T155" i="3"/>
  <c r="S156" i="3"/>
  <c r="F41" i="3" l="1"/>
  <c r="S157" i="3"/>
  <c r="T156" i="3"/>
  <c r="A159" i="3"/>
  <c r="B159" i="3" s="1"/>
  <c r="P158" i="3"/>
  <c r="Q158" i="3" s="1"/>
  <c r="R158" i="3" s="1"/>
  <c r="AA158" i="3"/>
  <c r="AC158" i="3"/>
  <c r="Z158" i="3"/>
  <c r="AD158" i="3"/>
  <c r="I41" i="3"/>
  <c r="J41" i="3"/>
  <c r="M41" i="3"/>
  <c r="N41" i="3" s="1"/>
  <c r="K41" i="3"/>
  <c r="V41" i="3" l="1"/>
  <c r="W41" i="3" s="1"/>
  <c r="AE41" i="3"/>
  <c r="L41" i="3"/>
  <c r="A160" i="3"/>
  <c r="B160" i="3" s="1"/>
  <c r="AC159" i="3"/>
  <c r="P159" i="3"/>
  <c r="Q159" i="3" s="1"/>
  <c r="R159" i="3" s="1"/>
  <c r="AD159" i="3"/>
  <c r="Z159" i="3"/>
  <c r="AA159" i="3"/>
  <c r="S158" i="3"/>
  <c r="T157" i="3"/>
  <c r="AA160" i="3" l="1"/>
  <c r="P160" i="3"/>
  <c r="Q160" i="3" s="1"/>
  <c r="R160" i="3" s="1"/>
  <c r="Z160" i="3"/>
  <c r="AC160" i="3"/>
  <c r="AD160" i="3"/>
  <c r="A161" i="3"/>
  <c r="B161" i="3" s="1"/>
  <c r="U41" i="3"/>
  <c r="E42" i="3" s="1"/>
  <c r="H42" i="3" s="1"/>
  <c r="AG42" i="3"/>
  <c r="AH42" i="3"/>
  <c r="Y40" i="3"/>
  <c r="T158" i="3"/>
  <c r="S159" i="3"/>
  <c r="D42" i="3" l="1"/>
  <c r="G42" i="3" s="1"/>
  <c r="Z161" i="3"/>
  <c r="AA161" i="3"/>
  <c r="P161" i="3"/>
  <c r="Q161" i="3" s="1"/>
  <c r="R161" i="3" s="1"/>
  <c r="A162" i="3"/>
  <c r="B162" i="3" s="1"/>
  <c r="AC161" i="3"/>
  <c r="AD161" i="3"/>
  <c r="S160" i="3"/>
  <c r="T159" i="3"/>
  <c r="K42" i="3"/>
  <c r="F42" i="3" l="1"/>
  <c r="AD162" i="3"/>
  <c r="Z162" i="3"/>
  <c r="P162" i="3"/>
  <c r="Q162" i="3" s="1"/>
  <c r="R162" i="3" s="1"/>
  <c r="AC162" i="3"/>
  <c r="AA162" i="3"/>
  <c r="A163" i="3"/>
  <c r="B163" i="3" s="1"/>
  <c r="V42" i="3"/>
  <c r="AE42" i="3"/>
  <c r="S161" i="3"/>
  <c r="T160" i="3"/>
  <c r="I42" i="3"/>
  <c r="J42" i="3"/>
  <c r="M42" i="3"/>
  <c r="N42" i="3" s="1"/>
  <c r="W42" i="3" l="1"/>
  <c r="L42" i="3"/>
  <c r="T161" i="3"/>
  <c r="S162" i="3"/>
  <c r="AD163" i="3"/>
  <c r="A164" i="3"/>
  <c r="B164" i="3" s="1"/>
  <c r="AC163" i="3"/>
  <c r="Z163" i="3"/>
  <c r="P163" i="3"/>
  <c r="Q163" i="3" s="1"/>
  <c r="R163" i="3" s="1"/>
  <c r="AA163" i="3"/>
  <c r="P164" i="3" l="1"/>
  <c r="Q164" i="3" s="1"/>
  <c r="R164" i="3" s="1"/>
  <c r="AA164" i="3"/>
  <c r="AD164" i="3"/>
  <c r="Z164" i="3"/>
  <c r="A165" i="3"/>
  <c r="B165" i="3" s="1"/>
  <c r="AC164" i="3"/>
  <c r="AG43" i="3"/>
  <c r="AH43" i="3"/>
  <c r="U42" i="3"/>
  <c r="E43" i="3" s="1"/>
  <c r="H43" i="3" s="1"/>
  <c r="Y41" i="3"/>
  <c r="S163" i="3"/>
  <c r="T162" i="3"/>
  <c r="K43" i="3" l="1"/>
  <c r="AD165" i="3"/>
  <c r="A166" i="3"/>
  <c r="B166" i="3" s="1"/>
  <c r="AA165" i="3"/>
  <c r="AC165" i="3"/>
  <c r="Z165" i="3"/>
  <c r="P165" i="3"/>
  <c r="Q165" i="3" s="1"/>
  <c r="R165" i="3" s="1"/>
  <c r="D43" i="3"/>
  <c r="S164" i="3"/>
  <c r="T163" i="3"/>
  <c r="A167" i="3" l="1"/>
  <c r="B167" i="3" s="1"/>
  <c r="AA166" i="3"/>
  <c r="AC166" i="3"/>
  <c r="P166" i="3"/>
  <c r="Q166" i="3" s="1"/>
  <c r="R166" i="3" s="1"/>
  <c r="AD166" i="3"/>
  <c r="Z166" i="3"/>
  <c r="T164" i="3"/>
  <c r="S165" i="3"/>
  <c r="V43" i="3"/>
  <c r="AE43" i="3"/>
  <c r="F43" i="3"/>
  <c r="G43" i="3"/>
  <c r="P167" i="3" l="1"/>
  <c r="Q167" i="3" s="1"/>
  <c r="R167" i="3" s="1"/>
  <c r="AA167" i="3"/>
  <c r="AC167" i="3"/>
  <c r="Z167" i="3"/>
  <c r="A168" i="3"/>
  <c r="B168" i="3" s="1"/>
  <c r="AD167" i="3"/>
  <c r="S166" i="3"/>
  <c r="T165" i="3"/>
  <c r="I43" i="3"/>
  <c r="W43" i="3" s="1"/>
  <c r="J43" i="3"/>
  <c r="M43" i="3"/>
  <c r="N43" i="3" s="1"/>
  <c r="A169" i="3" l="1"/>
  <c r="B169" i="3" s="1"/>
  <c r="Z168" i="3"/>
  <c r="P168" i="3"/>
  <c r="Q168" i="3" s="1"/>
  <c r="R168" i="3" s="1"/>
  <c r="AD168" i="3"/>
  <c r="AC168" i="3"/>
  <c r="AA168" i="3"/>
  <c r="L43" i="3"/>
  <c r="T166" i="3"/>
  <c r="S167" i="3"/>
  <c r="AD169" i="3" l="1"/>
  <c r="P169" i="3"/>
  <c r="Q169" i="3" s="1"/>
  <c r="R169" i="3" s="1"/>
  <c r="A170" i="3"/>
  <c r="B170" i="3" s="1"/>
  <c r="Z169" i="3"/>
  <c r="AA169" i="3"/>
  <c r="AC169" i="3"/>
  <c r="AG44" i="3"/>
  <c r="AH44" i="3"/>
  <c r="U43" i="3"/>
  <c r="E44" i="3" s="1"/>
  <c r="H44" i="3" s="1"/>
  <c r="Y42" i="3"/>
  <c r="S168" i="3"/>
  <c r="T167" i="3"/>
  <c r="D44" i="3" l="1"/>
  <c r="F44" i="3" s="1"/>
  <c r="K44" i="3"/>
  <c r="AA170" i="3"/>
  <c r="AC170" i="3"/>
  <c r="P170" i="3"/>
  <c r="Q170" i="3" s="1"/>
  <c r="R170" i="3" s="1"/>
  <c r="A171" i="3"/>
  <c r="B171" i="3" s="1"/>
  <c r="AD170" i="3"/>
  <c r="Z170" i="3"/>
  <c r="T168" i="3"/>
  <c r="S169" i="3"/>
  <c r="G44" i="3" l="1"/>
  <c r="J44" i="3" s="1"/>
  <c r="AD44" i="3" s="1"/>
  <c r="A172" i="3"/>
  <c r="B172" i="3" s="1"/>
  <c r="AD171" i="3"/>
  <c r="P171" i="3"/>
  <c r="Q171" i="3" s="1"/>
  <c r="R171" i="3" s="1"/>
  <c r="Z171" i="3"/>
  <c r="AA171" i="3"/>
  <c r="AC171" i="3"/>
  <c r="V44" i="3"/>
  <c r="AE44" i="3"/>
  <c r="T169" i="3"/>
  <c r="S170" i="3"/>
  <c r="M44" i="3" l="1"/>
  <c r="N44" i="3" s="1"/>
  <c r="I44" i="3"/>
  <c r="W44" i="3" s="1"/>
  <c r="A173" i="3"/>
  <c r="B173" i="3" s="1"/>
  <c r="AD172" i="3"/>
  <c r="P172" i="3"/>
  <c r="Q172" i="3" s="1"/>
  <c r="R172" i="3" s="1"/>
  <c r="AA172" i="3"/>
  <c r="AC172" i="3"/>
  <c r="Z172" i="3"/>
  <c r="T170" i="3"/>
  <c r="S171" i="3"/>
  <c r="L44" i="3"/>
  <c r="Z173" i="3" l="1"/>
  <c r="P173" i="3"/>
  <c r="Q173" i="3" s="1"/>
  <c r="R173" i="3" s="1"/>
  <c r="AD173" i="3"/>
  <c r="AA173" i="3"/>
  <c r="AC173" i="3"/>
  <c r="A174" i="3"/>
  <c r="B174" i="3" s="1"/>
  <c r="T171" i="3"/>
  <c r="S172" i="3"/>
  <c r="U44" i="3"/>
  <c r="E45" i="3" s="1"/>
  <c r="H45" i="3" s="1"/>
  <c r="AH45" i="3"/>
  <c r="AG45" i="3"/>
  <c r="Y43" i="3"/>
  <c r="D45" i="3" l="1"/>
  <c r="G45" i="3" s="1"/>
  <c r="K45" i="3"/>
  <c r="Z174" i="3"/>
  <c r="A175" i="3"/>
  <c r="B175" i="3" s="1"/>
  <c r="P174" i="3"/>
  <c r="Q174" i="3" s="1"/>
  <c r="R174" i="3" s="1"/>
  <c r="AA174" i="3"/>
  <c r="AC174" i="3"/>
  <c r="S173" i="3"/>
  <c r="T172" i="3"/>
  <c r="F45" i="3" l="1"/>
  <c r="P175" i="3"/>
  <c r="Q175" i="3" s="1"/>
  <c r="R175" i="3" s="1"/>
  <c r="A176" i="3"/>
  <c r="B176" i="3" s="1"/>
  <c r="AD175" i="3"/>
  <c r="AC175" i="3"/>
  <c r="AA175" i="3"/>
  <c r="Z175" i="3"/>
  <c r="I45" i="3"/>
  <c r="J45" i="3"/>
  <c r="M45" i="3"/>
  <c r="N45" i="3" s="1"/>
  <c r="S174" i="3"/>
  <c r="T173" i="3"/>
  <c r="V45" i="3"/>
  <c r="AE45" i="3"/>
  <c r="AD176" i="3" l="1"/>
  <c r="P176" i="3"/>
  <c r="Q176" i="3" s="1"/>
  <c r="R176" i="3" s="1"/>
  <c r="A177" i="3"/>
  <c r="B177" i="3" s="1"/>
  <c r="Z176" i="3"/>
  <c r="AC176" i="3"/>
  <c r="AA176" i="3"/>
  <c r="T174" i="3"/>
  <c r="S175" i="3"/>
  <c r="L45" i="3"/>
  <c r="W45" i="3"/>
  <c r="T175" i="3" l="1"/>
  <c r="S176" i="3"/>
  <c r="P177" i="3"/>
  <c r="Q177" i="3" s="1"/>
  <c r="R177" i="3" s="1"/>
  <c r="AA177" i="3"/>
  <c r="Z177" i="3"/>
  <c r="A178" i="3"/>
  <c r="B178" i="3" s="1"/>
  <c r="AC177" i="3"/>
  <c r="AD177" i="3"/>
  <c r="U45" i="3"/>
  <c r="D46" i="3" s="1"/>
  <c r="AG46" i="3"/>
  <c r="AH46" i="3"/>
  <c r="Y44" i="3"/>
  <c r="E46" i="3" l="1"/>
  <c r="H46" i="3" s="1"/>
  <c r="K46" i="3" s="1"/>
  <c r="G46" i="3"/>
  <c r="P178" i="3"/>
  <c r="Q178" i="3" s="1"/>
  <c r="R178" i="3" s="1"/>
  <c r="AA178" i="3"/>
  <c r="A179" i="3"/>
  <c r="B179" i="3" s="1"/>
  <c r="Z178" i="3"/>
  <c r="AD178" i="3"/>
  <c r="AC178" i="3"/>
  <c r="T176" i="3"/>
  <c r="S177" i="3"/>
  <c r="F46" i="3" l="1"/>
  <c r="P179" i="3"/>
  <c r="Q179" i="3" s="1"/>
  <c r="R179" i="3" s="1"/>
  <c r="A180" i="3"/>
  <c r="B180" i="3" s="1"/>
  <c r="AA179" i="3"/>
  <c r="Z179" i="3"/>
  <c r="AD179" i="3"/>
  <c r="AC179" i="3"/>
  <c r="I46" i="3"/>
  <c r="J46" i="3"/>
  <c r="M46" i="3"/>
  <c r="N46" i="3" s="1"/>
  <c r="V46" i="3"/>
  <c r="AE46" i="3"/>
  <c r="S178" i="3"/>
  <c r="T177" i="3"/>
  <c r="W46" i="3" l="1"/>
  <c r="AC180" i="3"/>
  <c r="A181" i="3"/>
  <c r="B181" i="3" s="1"/>
  <c r="AA180" i="3"/>
  <c r="AD180" i="3"/>
  <c r="Z180" i="3"/>
  <c r="P180" i="3"/>
  <c r="Q180" i="3" s="1"/>
  <c r="R180" i="3" s="1"/>
  <c r="T178" i="3"/>
  <c r="S179" i="3"/>
  <c r="L46" i="3"/>
  <c r="AA181" i="3" l="1"/>
  <c r="Z181" i="3"/>
  <c r="A182" i="3"/>
  <c r="B182" i="3" s="1"/>
  <c r="AD181" i="3"/>
  <c r="AC181" i="3"/>
  <c r="P181" i="3"/>
  <c r="Q181" i="3" s="1"/>
  <c r="R181" i="3" s="1"/>
  <c r="S180" i="3"/>
  <c r="T179" i="3"/>
  <c r="AG47" i="3"/>
  <c r="U46" i="3"/>
  <c r="D47" i="3" s="1"/>
  <c r="AH47" i="3"/>
  <c r="Y45" i="3"/>
  <c r="E47" i="3" l="1"/>
  <c r="H47" i="3" s="1"/>
  <c r="K47" i="3" s="1"/>
  <c r="A183" i="3"/>
  <c r="B183" i="3" s="1"/>
  <c r="AA182" i="3"/>
  <c r="P182" i="3"/>
  <c r="Q182" i="3" s="1"/>
  <c r="R182" i="3" s="1"/>
  <c r="Z182" i="3"/>
  <c r="AD182" i="3"/>
  <c r="AC182" i="3"/>
  <c r="T180" i="3"/>
  <c r="S181" i="3"/>
  <c r="G47" i="3"/>
  <c r="F47" i="3" l="1"/>
  <c r="Z183" i="3"/>
  <c r="AA183" i="3"/>
  <c r="AC183" i="3"/>
  <c r="A184" i="3"/>
  <c r="B184" i="3" s="1"/>
  <c r="P183" i="3"/>
  <c r="Q183" i="3" s="1"/>
  <c r="R183" i="3" s="1"/>
  <c r="AD183" i="3"/>
  <c r="S182" i="3"/>
  <c r="T181" i="3"/>
  <c r="I47" i="3"/>
  <c r="J47" i="3"/>
  <c r="M47" i="3"/>
  <c r="N47" i="3" s="1"/>
  <c r="V47" i="3"/>
  <c r="AE47" i="3"/>
  <c r="W47" i="3" l="1"/>
  <c r="AD184" i="3"/>
  <c r="Z184" i="3"/>
  <c r="P184" i="3"/>
  <c r="Q184" i="3" s="1"/>
  <c r="R184" i="3" s="1"/>
  <c r="AA184" i="3"/>
  <c r="A185" i="3"/>
  <c r="B185" i="3" s="1"/>
  <c r="AC184" i="3"/>
  <c r="L47" i="3"/>
  <c r="S183" i="3"/>
  <c r="T182" i="3"/>
  <c r="AD185" i="3" l="1"/>
  <c r="A186" i="3"/>
  <c r="B186" i="3" s="1"/>
  <c r="AC185" i="3"/>
  <c r="P185" i="3"/>
  <c r="Q185" i="3" s="1"/>
  <c r="R185" i="3" s="1"/>
  <c r="AA185" i="3"/>
  <c r="Z185" i="3"/>
  <c r="AG48" i="3"/>
  <c r="U47" i="3"/>
  <c r="E48" i="3" s="1"/>
  <c r="H48" i="3" s="1"/>
  <c r="AH48" i="3"/>
  <c r="Y46" i="3"/>
  <c r="S184" i="3"/>
  <c r="T183" i="3"/>
  <c r="AD186" i="3" l="1"/>
  <c r="Z186" i="3"/>
  <c r="A187" i="3"/>
  <c r="B187" i="3" s="1"/>
  <c r="P186" i="3"/>
  <c r="Q186" i="3" s="1"/>
  <c r="R186" i="3" s="1"/>
  <c r="AA186" i="3"/>
  <c r="AC186" i="3"/>
  <c r="K48" i="3"/>
  <c r="D48" i="3"/>
  <c r="T184" i="3"/>
  <c r="S185" i="3"/>
  <c r="P187" i="3" l="1"/>
  <c r="Q187" i="3" s="1"/>
  <c r="R187" i="3" s="1"/>
  <c r="AD187" i="3"/>
  <c r="A188" i="3"/>
  <c r="B188" i="3" s="1"/>
  <c r="AA187" i="3"/>
  <c r="AC187" i="3"/>
  <c r="Z187" i="3"/>
  <c r="S186" i="3"/>
  <c r="T185" i="3"/>
  <c r="V48" i="3"/>
  <c r="AE48" i="3"/>
  <c r="F48" i="3"/>
  <c r="G48" i="3"/>
  <c r="S187" i="3" l="1"/>
  <c r="T186" i="3"/>
  <c r="Z188" i="3"/>
  <c r="A189" i="3"/>
  <c r="B189" i="3" s="1"/>
  <c r="AA188" i="3"/>
  <c r="P188" i="3"/>
  <c r="Q188" i="3" s="1"/>
  <c r="R188" i="3" s="1"/>
  <c r="AD188" i="3"/>
  <c r="AC188" i="3"/>
  <c r="I48" i="3"/>
  <c r="W48" i="3" s="1"/>
  <c r="J48" i="3"/>
  <c r="M48" i="3"/>
  <c r="N48" i="3" s="1"/>
  <c r="Z189" i="3" l="1"/>
  <c r="P189" i="3"/>
  <c r="Q189" i="3" s="1"/>
  <c r="R189" i="3" s="1"/>
  <c r="A190" i="3"/>
  <c r="B190" i="3" s="1"/>
  <c r="AC189" i="3"/>
  <c r="AA189" i="3"/>
  <c r="AD189" i="3"/>
  <c r="S188" i="3"/>
  <c r="T187" i="3"/>
  <c r="L48" i="3"/>
  <c r="AC190" i="3" l="1"/>
  <c r="P190" i="3"/>
  <c r="Q190" i="3" s="1"/>
  <c r="R190" i="3" s="1"/>
  <c r="Z190" i="3"/>
  <c r="A191" i="3"/>
  <c r="B191" i="3" s="1"/>
  <c r="AD190" i="3"/>
  <c r="AA190" i="3"/>
  <c r="S189" i="3"/>
  <c r="T188" i="3"/>
  <c r="AH49" i="3"/>
  <c r="U48" i="3"/>
  <c r="E49" i="3" s="1"/>
  <c r="H49" i="3" s="1"/>
  <c r="AG49" i="3"/>
  <c r="Y47" i="3"/>
  <c r="D49" i="3" l="1"/>
  <c r="G49" i="3" s="1"/>
  <c r="K49" i="3"/>
  <c r="Z191" i="3"/>
  <c r="P191" i="3"/>
  <c r="Q191" i="3" s="1"/>
  <c r="R191" i="3" s="1"/>
  <c r="AA191" i="3"/>
  <c r="AC191" i="3"/>
  <c r="A192" i="3"/>
  <c r="B192" i="3" s="1"/>
  <c r="AD191" i="3"/>
  <c r="S190" i="3"/>
  <c r="T189" i="3"/>
  <c r="F49" i="3" l="1"/>
  <c r="P192" i="3"/>
  <c r="Q192" i="3" s="1"/>
  <c r="R192" i="3" s="1"/>
  <c r="Z192" i="3"/>
  <c r="AD192" i="3"/>
  <c r="AA192" i="3"/>
  <c r="A193" i="3"/>
  <c r="B193" i="3" s="1"/>
  <c r="AC192" i="3"/>
  <c r="V49" i="3"/>
  <c r="AE49" i="3"/>
  <c r="I49" i="3"/>
  <c r="J49" i="3"/>
  <c r="M49" i="3"/>
  <c r="N49" i="3" s="1"/>
  <c r="S191" i="3"/>
  <c r="T190" i="3"/>
  <c r="W49" i="3" l="1"/>
  <c r="Z193" i="3"/>
  <c r="AC193" i="3"/>
  <c r="AA193" i="3"/>
  <c r="AD193" i="3"/>
  <c r="P193" i="3"/>
  <c r="Q193" i="3" s="1"/>
  <c r="R193" i="3" s="1"/>
  <c r="A194" i="3"/>
  <c r="B194" i="3" s="1"/>
  <c r="S192" i="3"/>
  <c r="T191" i="3"/>
  <c r="L49" i="3"/>
  <c r="T192" i="3" l="1"/>
  <c r="S193" i="3"/>
  <c r="AD194" i="3"/>
  <c r="P194" i="3"/>
  <c r="Q194" i="3" s="1"/>
  <c r="R194" i="3" s="1"/>
  <c r="AA194" i="3"/>
  <c r="A195" i="3"/>
  <c r="B195" i="3" s="1"/>
  <c r="AC194" i="3"/>
  <c r="Z194" i="3"/>
  <c r="AG50" i="3"/>
  <c r="AH50" i="3"/>
  <c r="U49" i="3"/>
  <c r="D50" i="3" s="1"/>
  <c r="Y48" i="3"/>
  <c r="E50" i="3" l="1"/>
  <c r="H50" i="3" s="1"/>
  <c r="K50" i="3" s="1"/>
  <c r="G50" i="3"/>
  <c r="S194" i="3"/>
  <c r="T193" i="3"/>
  <c r="Z195" i="3"/>
  <c r="AA195" i="3"/>
  <c r="P195" i="3"/>
  <c r="Q195" i="3" s="1"/>
  <c r="R195" i="3" s="1"/>
  <c r="A196" i="3"/>
  <c r="B196" i="3" s="1"/>
  <c r="AC195" i="3"/>
  <c r="AD195" i="3"/>
  <c r="F50" i="3" l="1"/>
  <c r="P196" i="3"/>
  <c r="Q196" i="3" s="1"/>
  <c r="R196" i="3" s="1"/>
  <c r="A197" i="3"/>
  <c r="B197" i="3" s="1"/>
  <c r="Z196" i="3"/>
  <c r="AC196" i="3"/>
  <c r="AA196" i="3"/>
  <c r="AD196" i="3"/>
  <c r="S195" i="3"/>
  <c r="T194" i="3"/>
  <c r="I50" i="3"/>
  <c r="J50" i="3"/>
  <c r="M50" i="3"/>
  <c r="N50" i="3" s="1"/>
  <c r="V50" i="3"/>
  <c r="AE50" i="3"/>
  <c r="L50" i="3" l="1"/>
  <c r="S196" i="3"/>
  <c r="T195" i="3"/>
  <c r="AD197" i="3"/>
  <c r="P197" i="3"/>
  <c r="Q197" i="3" s="1"/>
  <c r="R197" i="3" s="1"/>
  <c r="AA197" i="3"/>
  <c r="A198" i="3"/>
  <c r="B198" i="3" s="1"/>
  <c r="Z197" i="3"/>
  <c r="AC197" i="3"/>
  <c r="W50" i="3"/>
  <c r="P198" i="3" l="1"/>
  <c r="Q198" i="3" s="1"/>
  <c r="R198" i="3" s="1"/>
  <c r="A199" i="3"/>
  <c r="B199" i="3" s="1"/>
  <c r="AA198" i="3"/>
  <c r="Z198" i="3"/>
  <c r="AC198" i="3"/>
  <c r="AD198" i="3"/>
  <c r="U50" i="3"/>
  <c r="D51" i="3" s="1"/>
  <c r="AH51" i="3"/>
  <c r="AG51" i="3"/>
  <c r="Y49" i="3"/>
  <c r="S197" i="3"/>
  <c r="T196" i="3"/>
  <c r="E51" i="3" l="1"/>
  <c r="H51" i="3" s="1"/>
  <c r="K51" i="3" s="1"/>
  <c r="AD199" i="3"/>
  <c r="P199" i="3"/>
  <c r="Q199" i="3" s="1"/>
  <c r="R199" i="3" s="1"/>
  <c r="A200" i="3"/>
  <c r="B200" i="3" s="1"/>
  <c r="AC199" i="3"/>
  <c r="AA199" i="3"/>
  <c r="Z199" i="3"/>
  <c r="G51" i="3"/>
  <c r="T197" i="3"/>
  <c r="S198" i="3"/>
  <c r="F51" i="3" l="1"/>
  <c r="AA200" i="3"/>
  <c r="A201" i="3"/>
  <c r="B201" i="3" s="1"/>
  <c r="AC200" i="3"/>
  <c r="Z200" i="3"/>
  <c r="P200" i="3"/>
  <c r="Q200" i="3" s="1"/>
  <c r="R200" i="3" s="1"/>
  <c r="AD200" i="3"/>
  <c r="V51" i="3"/>
  <c r="AE51" i="3"/>
  <c r="I51" i="3"/>
  <c r="J51" i="3"/>
  <c r="M51" i="3"/>
  <c r="N51" i="3" s="1"/>
  <c r="T198" i="3"/>
  <c r="S199" i="3"/>
  <c r="W51" i="3" l="1"/>
  <c r="A202" i="3"/>
  <c r="B202" i="3" s="1"/>
  <c r="AC201" i="3"/>
  <c r="Z201" i="3"/>
  <c r="AD201" i="3"/>
  <c r="P201" i="3"/>
  <c r="Q201" i="3" s="1"/>
  <c r="R201" i="3" s="1"/>
  <c r="AA201" i="3"/>
  <c r="L51" i="3"/>
  <c r="S200" i="3"/>
  <c r="T199" i="3"/>
  <c r="AD202" i="3" l="1"/>
  <c r="P202" i="3"/>
  <c r="Q202" i="3" s="1"/>
  <c r="R202" i="3" s="1"/>
  <c r="AA202" i="3"/>
  <c r="AC202" i="3"/>
  <c r="Z202" i="3"/>
  <c r="A203" i="3"/>
  <c r="B203" i="3" s="1"/>
  <c r="AH52" i="3"/>
  <c r="AG52" i="3"/>
  <c r="U51" i="3"/>
  <c r="E52" i="3" s="1"/>
  <c r="H52" i="3" s="1"/>
  <c r="Y50" i="3"/>
  <c r="S201" i="3"/>
  <c r="T200" i="3"/>
  <c r="D52" i="3" l="1"/>
  <c r="G52" i="3" s="1"/>
  <c r="K52" i="3"/>
  <c r="Z203" i="3"/>
  <c r="P203" i="3"/>
  <c r="Q203" i="3" s="1"/>
  <c r="R203" i="3" s="1"/>
  <c r="AD203" i="3"/>
  <c r="AA203" i="3"/>
  <c r="AC203" i="3"/>
  <c r="S202" i="3"/>
  <c r="T201" i="3"/>
  <c r="F52" i="3" l="1"/>
  <c r="S203" i="3"/>
  <c r="T202" i="3"/>
  <c r="V52" i="3"/>
  <c r="AE52" i="3"/>
  <c r="I52" i="3"/>
  <c r="J52" i="3"/>
  <c r="M52" i="3"/>
  <c r="N52" i="3" s="1"/>
  <c r="T203" i="3" l="1"/>
  <c r="L52" i="3"/>
  <c r="W52" i="3"/>
  <c r="AH53" i="3" l="1"/>
  <c r="AG53" i="3"/>
  <c r="U52" i="3"/>
  <c r="E53" i="3" s="1"/>
  <c r="H53" i="3" s="1"/>
  <c r="Y51" i="3"/>
  <c r="K53" i="3" l="1"/>
  <c r="D53" i="3"/>
  <c r="V53" i="3" l="1"/>
  <c r="AE53" i="3"/>
  <c r="F53" i="3"/>
  <c r="G53" i="3"/>
  <c r="I53" i="3" l="1"/>
  <c r="W53" i="3" s="1"/>
  <c r="J53" i="3"/>
  <c r="M53" i="3"/>
  <c r="N53" i="3" s="1"/>
  <c r="L53" i="3" l="1"/>
  <c r="AH54" i="3" l="1"/>
  <c r="AG54" i="3"/>
  <c r="U53" i="3"/>
  <c r="D54" i="3" s="1"/>
  <c r="Y52" i="3"/>
  <c r="G54" i="3" l="1"/>
  <c r="E54" i="3"/>
  <c r="H54" i="3" s="1"/>
  <c r="I54" i="3" l="1"/>
  <c r="J54" i="3"/>
  <c r="M54" i="3"/>
  <c r="N54" i="3" s="1"/>
  <c r="F54" i="3"/>
  <c r="K54" i="3"/>
  <c r="L54" i="3" l="1"/>
  <c r="V54" i="3"/>
  <c r="W54" i="3" s="1"/>
  <c r="AE54" i="3"/>
  <c r="U54" i="3" l="1"/>
  <c r="D55" i="3" s="1"/>
  <c r="AG55" i="3"/>
  <c r="AH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H56" i="3" l="1"/>
  <c r="U55" i="3"/>
  <c r="D56" i="3" s="1"/>
  <c r="AG56" i="3"/>
  <c r="Y54" i="3"/>
  <c r="E56" i="3" l="1"/>
  <c r="H56" i="3" s="1"/>
  <c r="K56" i="3" s="1"/>
  <c r="G56" i="3"/>
  <c r="F56" i="3" l="1"/>
  <c r="I56" i="3"/>
  <c r="J56" i="3"/>
  <c r="M56" i="3"/>
  <c r="N56" i="3" s="1"/>
  <c r="V56" i="3"/>
  <c r="AE56" i="3"/>
  <c r="W56" i="3" l="1"/>
  <c r="L56" i="3"/>
  <c r="AG57" i="3" l="1"/>
  <c r="U56" i="3"/>
  <c r="D57" i="3" s="1"/>
  <c r="AH57" i="3"/>
  <c r="Y55" i="3"/>
  <c r="E57" i="3" l="1"/>
  <c r="H57" i="3" s="1"/>
  <c r="K57" i="3" s="1"/>
  <c r="G57" i="3"/>
  <c r="F57" i="3" l="1"/>
  <c r="I57" i="3"/>
  <c r="J57" i="3"/>
  <c r="M57" i="3"/>
  <c r="N57" i="3" s="1"/>
  <c r="V57" i="3"/>
  <c r="AE57" i="3"/>
  <c r="W57" i="3" l="1"/>
  <c r="L57" i="3"/>
  <c r="U57" i="3" l="1"/>
  <c r="D58" i="3" s="1"/>
  <c r="AH58" i="3"/>
  <c r="AG58" i="3"/>
  <c r="Y56" i="3"/>
  <c r="E58" i="3" l="1"/>
  <c r="H58" i="3" s="1"/>
  <c r="K58" i="3" s="1"/>
  <c r="G58" i="3"/>
  <c r="F58" i="3" l="1"/>
  <c r="V58" i="3"/>
  <c r="AE58" i="3"/>
  <c r="I58" i="3"/>
  <c r="J58" i="3"/>
  <c r="M58" i="3"/>
  <c r="N58" i="3" s="1"/>
  <c r="W58" i="3" l="1"/>
  <c r="L58" i="3"/>
  <c r="AG59" i="3" l="1"/>
  <c r="U58" i="3"/>
  <c r="E59" i="3" s="1"/>
  <c r="H59" i="3" s="1"/>
  <c r="AH59" i="3"/>
  <c r="Y57" i="3"/>
  <c r="D59" i="3" l="1"/>
  <c r="F59" i="3" s="1"/>
  <c r="K59" i="3"/>
  <c r="G59" i="3" l="1"/>
  <c r="M59" i="3" s="1"/>
  <c r="N59" i="3" s="1"/>
  <c r="V59" i="3"/>
  <c r="AE59" i="3"/>
  <c r="I59" i="3" l="1"/>
  <c r="W59" i="3" s="1"/>
  <c r="J59" i="3"/>
  <c r="L59" i="3" s="1"/>
  <c r="AH60" i="3" l="1"/>
  <c r="U59" i="3"/>
  <c r="D60" i="3" s="1"/>
  <c r="AG60" i="3"/>
  <c r="Y58" i="3"/>
  <c r="E60" i="3" l="1"/>
  <c r="H60" i="3" s="1"/>
  <c r="K60" i="3" s="1"/>
  <c r="G60" i="3"/>
  <c r="F60" i="3" l="1"/>
  <c r="I60" i="3"/>
  <c r="J60" i="3"/>
  <c r="M60" i="3"/>
  <c r="N60" i="3" s="1"/>
  <c r="V60" i="3"/>
  <c r="AE60" i="3"/>
  <c r="W60" i="3" l="1"/>
  <c r="L60" i="3"/>
  <c r="AG61" i="3" l="1"/>
  <c r="U60" i="3"/>
  <c r="D61" i="3" s="1"/>
  <c r="AH61" i="3"/>
  <c r="Y59" i="3"/>
  <c r="G61" i="3" l="1"/>
  <c r="E61" i="3"/>
  <c r="H61" i="3" s="1"/>
  <c r="F61" i="3" l="1"/>
  <c r="I61" i="3"/>
  <c r="J61" i="3"/>
  <c r="M61" i="3"/>
  <c r="N61" i="3" s="1"/>
  <c r="K61" i="3"/>
  <c r="V61" i="3" l="1"/>
  <c r="W61" i="3" s="1"/>
  <c r="AE61" i="3"/>
  <c r="L61" i="3"/>
  <c r="AG62" i="3" l="1"/>
  <c r="U61" i="3"/>
  <c r="D62" i="3" s="1"/>
  <c r="AH62" i="3"/>
  <c r="Y60" i="3"/>
  <c r="G62" i="3" l="1"/>
  <c r="E62" i="3"/>
  <c r="H62" i="3" s="1"/>
  <c r="F62" i="3" l="1"/>
  <c r="I62" i="3"/>
  <c r="J62" i="3"/>
  <c r="M62" i="3"/>
  <c r="N62" i="3" s="1"/>
  <c r="K62" i="3"/>
  <c r="V62" i="3" l="1"/>
  <c r="W62" i="3" s="1"/>
  <c r="AE62" i="3"/>
  <c r="L62" i="3"/>
  <c r="U62" i="3" l="1"/>
  <c r="E63" i="3" s="1"/>
  <c r="H63" i="3" s="1"/>
  <c r="AG63" i="3"/>
  <c r="AH63" i="3"/>
  <c r="Y61" i="3"/>
  <c r="D63" i="3" l="1"/>
  <c r="G63" i="3" s="1"/>
  <c r="K63" i="3"/>
  <c r="F63" i="3" l="1"/>
  <c r="I63" i="3"/>
  <c r="J63" i="3"/>
  <c r="M63" i="3"/>
  <c r="N63" i="3" s="1"/>
  <c r="V63" i="3"/>
  <c r="AE63" i="3"/>
  <c r="W63" i="3" l="1"/>
  <c r="L63" i="3"/>
  <c r="U63" i="3" l="1"/>
  <c r="E64" i="3" s="1"/>
  <c r="H64" i="3" s="1"/>
  <c r="AH64" i="3"/>
  <c r="AG64" i="3"/>
  <c r="Y62" i="3"/>
  <c r="D64" i="3" l="1"/>
  <c r="G64" i="3" s="1"/>
  <c r="K64" i="3"/>
  <c r="F64" i="3" l="1"/>
  <c r="V64" i="3"/>
  <c r="AE64" i="3"/>
  <c r="I64" i="3"/>
  <c r="J64" i="3"/>
  <c r="M64" i="3"/>
  <c r="N64" i="3" s="1"/>
  <c r="W64" i="3" l="1"/>
  <c r="L64" i="3"/>
  <c r="U64" i="3" l="1"/>
  <c r="E65" i="3" s="1"/>
  <c r="H65" i="3" s="1"/>
  <c r="AH65" i="3"/>
  <c r="AG65" i="3"/>
  <c r="Y63" i="3"/>
  <c r="D65" i="3" l="1"/>
  <c r="G65" i="3" s="1"/>
  <c r="K65" i="3"/>
  <c r="F65" i="3" l="1"/>
  <c r="V65" i="3"/>
  <c r="AE65" i="3"/>
  <c r="I65" i="3"/>
  <c r="J65" i="3"/>
  <c r="M65" i="3"/>
  <c r="N65" i="3" s="1"/>
  <c r="W65" i="3" l="1"/>
  <c r="L65" i="3"/>
  <c r="U65" i="3" l="1"/>
  <c r="D66" i="3" s="1"/>
  <c r="AH66" i="3"/>
  <c r="AG66" i="3"/>
  <c r="Y64" i="3"/>
  <c r="E66" i="3" l="1"/>
  <c r="H66" i="3" s="1"/>
  <c r="K66" i="3" s="1"/>
  <c r="G66" i="3"/>
  <c r="F66" i="3" l="1"/>
  <c r="I66" i="3"/>
  <c r="J66" i="3"/>
  <c r="M66" i="3"/>
  <c r="N66" i="3" s="1"/>
  <c r="V66" i="3"/>
  <c r="AE66" i="3"/>
  <c r="W66" i="3" l="1"/>
  <c r="L66" i="3"/>
  <c r="U66" i="3" l="1"/>
  <c r="D67" i="3" s="1"/>
  <c r="AH67" i="3"/>
  <c r="AG67" i="3"/>
  <c r="Y65" i="3"/>
  <c r="E67" i="3" l="1"/>
  <c r="H67" i="3" s="1"/>
  <c r="K67" i="3" s="1"/>
  <c r="G67" i="3"/>
  <c r="F67" i="3" l="1"/>
  <c r="I67" i="3"/>
  <c r="J67" i="3"/>
  <c r="M67" i="3"/>
  <c r="N67" i="3" s="1"/>
  <c r="V67" i="3"/>
  <c r="AE67" i="3"/>
  <c r="W67" i="3" l="1"/>
  <c r="L67" i="3"/>
  <c r="U67" i="3" l="1"/>
  <c r="D68" i="3" s="1"/>
  <c r="AH68" i="3"/>
  <c r="AG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U68" i="3" l="1"/>
  <c r="D69" i="3" s="1"/>
  <c r="AH69" i="3"/>
  <c r="AG69" i="3"/>
  <c r="Y67" i="3"/>
  <c r="E69" i="3" l="1"/>
  <c r="H69" i="3" s="1"/>
  <c r="K69" i="3" s="1"/>
  <c r="G69" i="3"/>
  <c r="F69" i="3" l="1"/>
  <c r="I69" i="3"/>
  <c r="J69" i="3"/>
  <c r="M69" i="3"/>
  <c r="N69" i="3" s="1"/>
  <c r="V69" i="3"/>
  <c r="AE69" i="3"/>
  <c r="W69" i="3" l="1"/>
  <c r="L69" i="3"/>
  <c r="AH70" i="3" l="1"/>
  <c r="U69" i="3"/>
  <c r="E70" i="3" s="1"/>
  <c r="H70" i="3" s="1"/>
  <c r="AG70" i="3"/>
  <c r="Y68" i="3"/>
  <c r="D70" i="3" l="1"/>
  <c r="G70" i="3" s="1"/>
  <c r="K70" i="3"/>
  <c r="F70" i="3" l="1"/>
  <c r="I70" i="3"/>
  <c r="J70" i="3"/>
  <c r="M70" i="3"/>
  <c r="N70" i="3" s="1"/>
  <c r="V70" i="3"/>
  <c r="AE70" i="3"/>
  <c r="W70" i="3" l="1"/>
  <c r="L70" i="3"/>
  <c r="AG71" i="3" l="1"/>
  <c r="AH71" i="3"/>
  <c r="U70" i="3"/>
  <c r="E71" i="3" s="1"/>
  <c r="H71" i="3" s="1"/>
  <c r="Y69" i="3"/>
  <c r="D71" i="3" l="1"/>
  <c r="G71" i="3" s="1"/>
  <c r="K71" i="3"/>
  <c r="F71" i="3" l="1"/>
  <c r="I71" i="3"/>
  <c r="J71" i="3"/>
  <c r="M71" i="3"/>
  <c r="N71" i="3" s="1"/>
  <c r="V71" i="3"/>
  <c r="AE71" i="3"/>
  <c r="W71" i="3" l="1"/>
  <c r="L71" i="3"/>
  <c r="AH72" i="3" l="1"/>
  <c r="U71" i="3"/>
  <c r="E72" i="3" s="1"/>
  <c r="H72" i="3" s="1"/>
  <c r="AG72" i="3"/>
  <c r="Y70" i="3"/>
  <c r="D72" i="3" l="1"/>
  <c r="F72" i="3" s="1"/>
  <c r="K72" i="3"/>
  <c r="G72" i="3" l="1"/>
  <c r="M72" i="3" s="1"/>
  <c r="N72" i="3" s="1"/>
  <c r="V72" i="3"/>
  <c r="AE72" i="3"/>
  <c r="I72" i="3" l="1"/>
  <c r="W72" i="3" s="1"/>
  <c r="J72" i="3"/>
  <c r="L72" i="3" s="1"/>
  <c r="U72" i="3" l="1"/>
  <c r="D73" i="3" s="1"/>
  <c r="AG73" i="3"/>
  <c r="AH73" i="3"/>
  <c r="Y71" i="3"/>
  <c r="E73" i="3" l="1"/>
  <c r="H73" i="3" s="1"/>
  <c r="K73" i="3" s="1"/>
  <c r="G73" i="3"/>
  <c r="F73" i="3" l="1"/>
  <c r="I73" i="3"/>
  <c r="J73" i="3"/>
  <c r="M73" i="3"/>
  <c r="N73" i="3" s="1"/>
  <c r="V73" i="3"/>
  <c r="AE73" i="3"/>
  <c r="W73" i="3" l="1"/>
  <c r="L73" i="3"/>
  <c r="AG74" i="3" l="1"/>
  <c r="AH74" i="3"/>
  <c r="U73" i="3"/>
  <c r="D74" i="3" s="1"/>
  <c r="Y72" i="3"/>
  <c r="G74" i="3" l="1"/>
  <c r="E74" i="3"/>
  <c r="H74" i="3" s="1"/>
  <c r="I74" i="3" l="1"/>
  <c r="J74" i="3"/>
  <c r="AD74" i="3" s="1"/>
  <c r="M74" i="3"/>
  <c r="N74" i="3" s="1"/>
  <c r="K74" i="3"/>
  <c r="F74" i="3"/>
  <c r="V74" i="3" l="1"/>
  <c r="W74" i="3" s="1"/>
  <c r="AE74" i="3"/>
  <c r="L74" i="3"/>
  <c r="AG75" i="3" l="1"/>
  <c r="U74" i="3"/>
  <c r="E75" i="3" s="1"/>
  <c r="H75" i="3" s="1"/>
  <c r="AH75" i="3"/>
  <c r="Y73" i="3"/>
  <c r="K75" i="3" l="1"/>
  <c r="D75" i="3"/>
  <c r="V75" i="3" l="1"/>
  <c r="AE75" i="3"/>
  <c r="F75" i="3"/>
  <c r="G75" i="3"/>
  <c r="I75" i="3" l="1"/>
  <c r="W75" i="3" s="1"/>
  <c r="J75" i="3"/>
  <c r="M75" i="3"/>
  <c r="N75" i="3" s="1"/>
  <c r="L75" i="3" l="1"/>
  <c r="U75" i="3" l="1"/>
  <c r="E76" i="3" s="1"/>
  <c r="H76" i="3" s="1"/>
  <c r="AH76" i="3"/>
  <c r="AG76" i="3"/>
  <c r="Y74" i="3"/>
  <c r="D76" i="3" l="1"/>
  <c r="F76" i="3" s="1"/>
  <c r="K76" i="3"/>
  <c r="G76" i="3" l="1"/>
  <c r="I76" i="3" s="1"/>
  <c r="V76" i="3"/>
  <c r="AE76" i="3"/>
  <c r="J76" i="3" l="1"/>
  <c r="L76" i="3" s="1"/>
  <c r="M76" i="3"/>
  <c r="N76" i="3" s="1"/>
  <c r="W76" i="3"/>
  <c r="U76" i="3" l="1"/>
  <c r="D77" i="3" s="1"/>
  <c r="AH77" i="3"/>
  <c r="AG77" i="3"/>
  <c r="Y75" i="3"/>
  <c r="E77" i="3" l="1"/>
  <c r="H77" i="3" s="1"/>
  <c r="K77" i="3" s="1"/>
  <c r="G77" i="3"/>
  <c r="F77" i="3" l="1"/>
  <c r="I77" i="3"/>
  <c r="J77" i="3"/>
  <c r="M77" i="3"/>
  <c r="N77" i="3" s="1"/>
  <c r="V77" i="3"/>
  <c r="AE77" i="3"/>
  <c r="W77" i="3" l="1"/>
  <c r="L77" i="3"/>
  <c r="AH78" i="3" l="1"/>
  <c r="U77" i="3"/>
  <c r="D78" i="3" s="1"/>
  <c r="AG78" i="3"/>
  <c r="Y76" i="3"/>
  <c r="E78" i="3" l="1"/>
  <c r="H78" i="3" s="1"/>
  <c r="K78" i="3" s="1"/>
  <c r="G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H79" i="3"/>
  <c r="AG79" i="3"/>
  <c r="Y77" i="3"/>
  <c r="D79" i="3" l="1"/>
  <c r="G79" i="3" s="1"/>
  <c r="K79" i="3"/>
  <c r="F79" i="3" l="1"/>
  <c r="I79" i="3"/>
  <c r="J79" i="3"/>
  <c r="M79" i="3"/>
  <c r="N79" i="3" s="1"/>
  <c r="V79" i="3"/>
  <c r="AE79" i="3"/>
  <c r="W79" i="3" l="1"/>
  <c r="L79" i="3"/>
  <c r="AH80" i="3" l="1"/>
  <c r="AG80" i="3"/>
  <c r="U79" i="3"/>
  <c r="E80" i="3" s="1"/>
  <c r="H80" i="3" s="1"/>
  <c r="Y78" i="3"/>
  <c r="D80" i="3" l="1"/>
  <c r="F80" i="3" s="1"/>
  <c r="K80" i="3"/>
  <c r="G80" i="3" l="1"/>
  <c r="I80" i="3" s="1"/>
  <c r="V80" i="3"/>
  <c r="AE80" i="3"/>
  <c r="J80" i="3" l="1"/>
  <c r="L80" i="3" s="1"/>
  <c r="M80" i="3"/>
  <c r="N80" i="3" s="1"/>
  <c r="W80" i="3"/>
  <c r="U80" i="3" l="1"/>
  <c r="E81" i="3" s="1"/>
  <c r="H81" i="3" s="1"/>
  <c r="AG81" i="3"/>
  <c r="AH81" i="3"/>
  <c r="Y79" i="3"/>
  <c r="D81" i="3" l="1"/>
  <c r="G81" i="3" s="1"/>
  <c r="K81" i="3"/>
  <c r="F81" i="3" l="1"/>
  <c r="I81" i="3"/>
  <c r="J81" i="3"/>
  <c r="M81" i="3"/>
  <c r="N81" i="3" s="1"/>
  <c r="V81" i="3"/>
  <c r="AE81" i="3"/>
  <c r="W81" i="3" l="1"/>
  <c r="L81" i="3"/>
  <c r="AH82" i="3" l="1"/>
  <c r="AG82" i="3"/>
  <c r="U81" i="3"/>
  <c r="E82" i="3" s="1"/>
  <c r="H82" i="3" s="1"/>
  <c r="Y80" i="3"/>
  <c r="D82" i="3" l="1"/>
  <c r="G82" i="3" s="1"/>
  <c r="K82" i="3"/>
  <c r="F82" i="3" l="1"/>
  <c r="I82" i="3"/>
  <c r="J82" i="3"/>
  <c r="M82" i="3"/>
  <c r="N82" i="3" s="1"/>
  <c r="V82" i="3"/>
  <c r="AE82" i="3"/>
  <c r="W82" i="3" l="1"/>
  <c r="L82" i="3"/>
  <c r="AG83" i="3" l="1"/>
  <c r="U82" i="3"/>
  <c r="D83" i="3" s="1"/>
  <c r="AH83" i="3"/>
  <c r="Y81" i="3"/>
  <c r="E83" i="3" l="1"/>
  <c r="H83" i="3" s="1"/>
  <c r="K83" i="3" s="1"/>
  <c r="G83" i="3"/>
  <c r="F83" i="3" l="1"/>
  <c r="I83" i="3"/>
  <c r="J83" i="3"/>
  <c r="M83" i="3"/>
  <c r="N83" i="3" s="1"/>
  <c r="V83" i="3"/>
  <c r="AE83" i="3"/>
  <c r="W83" i="3" l="1"/>
  <c r="L83" i="3"/>
  <c r="AG84" i="3" l="1"/>
  <c r="AH84" i="3"/>
  <c r="U83" i="3"/>
  <c r="D84" i="3" s="1"/>
  <c r="Y82" i="3"/>
  <c r="G84" i="3" l="1"/>
  <c r="E84" i="3"/>
  <c r="H84" i="3" s="1"/>
  <c r="K84" i="3" l="1"/>
  <c r="I84" i="3"/>
  <c r="J84" i="3"/>
  <c r="M84" i="3"/>
  <c r="N84" i="3" s="1"/>
  <c r="F84" i="3"/>
  <c r="L84" i="3" l="1"/>
  <c r="V84" i="3"/>
  <c r="W84" i="3" s="1"/>
  <c r="AE84" i="3"/>
  <c r="AH85" i="3" l="1"/>
  <c r="AG85" i="3"/>
  <c r="U84" i="3"/>
  <c r="D85" i="3" s="1"/>
  <c r="Y83" i="3"/>
  <c r="E85" i="3" l="1"/>
  <c r="H85" i="3" s="1"/>
  <c r="K85" i="3" s="1"/>
  <c r="G85" i="3"/>
  <c r="F85" i="3" l="1"/>
  <c r="I85" i="3"/>
  <c r="J85" i="3"/>
  <c r="M85" i="3"/>
  <c r="N85" i="3" s="1"/>
  <c r="V85" i="3"/>
  <c r="AE85" i="3"/>
  <c r="W85" i="3" l="1"/>
  <c r="L85" i="3"/>
  <c r="AH86" i="3" l="1"/>
  <c r="AG86" i="3"/>
  <c r="U85" i="3"/>
  <c r="E86" i="3" s="1"/>
  <c r="H86" i="3" s="1"/>
  <c r="Y84" i="3"/>
  <c r="D86" i="3" l="1"/>
  <c r="F86" i="3" s="1"/>
  <c r="K86" i="3"/>
  <c r="G86" i="3" l="1"/>
  <c r="M86" i="3" s="1"/>
  <c r="N86" i="3" s="1"/>
  <c r="V86" i="3"/>
  <c r="AE86" i="3"/>
  <c r="I86" i="3" l="1"/>
  <c r="W86" i="3" s="1"/>
  <c r="J86" i="3"/>
  <c r="L86" i="3" s="1"/>
  <c r="U86" i="3" l="1"/>
  <c r="E87" i="3" s="1"/>
  <c r="H87" i="3" s="1"/>
  <c r="AH87" i="3"/>
  <c r="AG87" i="3"/>
  <c r="Y85" i="3"/>
  <c r="D87" i="3" l="1"/>
  <c r="G87" i="3" s="1"/>
  <c r="K87" i="3"/>
  <c r="F87" i="3" l="1"/>
  <c r="V87" i="3"/>
  <c r="AE87" i="3"/>
  <c r="I87" i="3"/>
  <c r="J87" i="3"/>
  <c r="M87" i="3"/>
  <c r="N87" i="3" s="1"/>
  <c r="L87" i="3" l="1"/>
  <c r="W87" i="3"/>
  <c r="U87" i="3" l="1"/>
  <c r="E88" i="3" s="1"/>
  <c r="H88" i="3" s="1"/>
  <c r="AG88" i="3"/>
  <c r="AH88" i="3"/>
  <c r="Y86" i="3"/>
  <c r="D88" i="3" l="1"/>
  <c r="G88" i="3" s="1"/>
  <c r="K88" i="3"/>
  <c r="F88" i="3" l="1"/>
  <c r="I88" i="3"/>
  <c r="J88" i="3"/>
  <c r="M88" i="3"/>
  <c r="N88" i="3" s="1"/>
  <c r="V88" i="3"/>
  <c r="AE88" i="3"/>
  <c r="W88" i="3" l="1"/>
  <c r="L88" i="3"/>
  <c r="AH89" i="3" l="1"/>
  <c r="U88" i="3"/>
  <c r="E89" i="3" s="1"/>
  <c r="H89" i="3" s="1"/>
  <c r="AG89" i="3"/>
  <c r="Y87" i="3"/>
  <c r="K89" i="3" l="1"/>
  <c r="D89" i="3"/>
  <c r="V89" i="3" l="1"/>
  <c r="AE89" i="3"/>
  <c r="F89" i="3"/>
  <c r="G89" i="3"/>
  <c r="I89" i="3" l="1"/>
  <c r="W89" i="3" s="1"/>
  <c r="J89" i="3"/>
  <c r="M89" i="3"/>
  <c r="N89" i="3" s="1"/>
  <c r="L89" i="3" l="1"/>
  <c r="U89" i="3" l="1"/>
  <c r="D90" i="3" s="1"/>
  <c r="AH90" i="3"/>
  <c r="AG90" i="3"/>
  <c r="Y88" i="3"/>
  <c r="G90" i="3" l="1"/>
  <c r="E90" i="3"/>
  <c r="H90" i="3" s="1"/>
  <c r="F90" i="3" l="1"/>
  <c r="I90" i="3"/>
  <c r="J90" i="3"/>
  <c r="M90" i="3"/>
  <c r="N90" i="3" s="1"/>
  <c r="K90" i="3"/>
  <c r="V90" i="3" l="1"/>
  <c r="W90" i="3" s="1"/>
  <c r="AE90" i="3"/>
  <c r="L90" i="3"/>
  <c r="AG91" i="3" l="1"/>
  <c r="AH91" i="3"/>
  <c r="U90" i="3"/>
  <c r="D91" i="3" s="1"/>
  <c r="Y89" i="3"/>
  <c r="G91" i="3" l="1"/>
  <c r="E91" i="3"/>
  <c r="H91" i="3" s="1"/>
  <c r="F91" i="3" l="1"/>
  <c r="I91" i="3"/>
  <c r="J91" i="3"/>
  <c r="M91" i="3"/>
  <c r="N91" i="3" s="1"/>
  <c r="K91" i="3"/>
  <c r="V91" i="3" l="1"/>
  <c r="W91" i="3" s="1"/>
  <c r="AE91" i="3"/>
  <c r="L91" i="3"/>
  <c r="AH92" i="3" l="1"/>
  <c r="AG92" i="3"/>
  <c r="U91" i="3"/>
  <c r="D92" i="3" s="1"/>
  <c r="Y90" i="3"/>
  <c r="G92" i="3" l="1"/>
  <c r="E92" i="3"/>
  <c r="H92" i="3" s="1"/>
  <c r="F92" i="3" l="1"/>
  <c r="I92" i="3"/>
  <c r="J92" i="3"/>
  <c r="M92" i="3"/>
  <c r="N92" i="3" s="1"/>
  <c r="K92" i="3"/>
  <c r="V92" i="3" l="1"/>
  <c r="W92" i="3" s="1"/>
  <c r="AE92" i="3"/>
  <c r="L92" i="3"/>
  <c r="U92" i="3" l="1"/>
  <c r="D93" i="3" s="1"/>
  <c r="AH93" i="3"/>
  <c r="AG93" i="3"/>
  <c r="Y91" i="3"/>
  <c r="E93" i="3" l="1"/>
  <c r="H93" i="3" s="1"/>
  <c r="K93" i="3" s="1"/>
  <c r="G93" i="3"/>
  <c r="F93" i="3" l="1"/>
  <c r="I93" i="3"/>
  <c r="J93" i="3"/>
  <c r="M93" i="3"/>
  <c r="N93" i="3" s="1"/>
  <c r="V93" i="3"/>
  <c r="AE93" i="3"/>
  <c r="W93" i="3" l="1"/>
  <c r="L93" i="3"/>
  <c r="AG94" i="3" l="1"/>
  <c r="AH94" i="3"/>
  <c r="U93" i="3"/>
  <c r="D94" i="3" s="1"/>
  <c r="Y92" i="3"/>
  <c r="E94" i="3" l="1"/>
  <c r="H94" i="3" s="1"/>
  <c r="K94" i="3" s="1"/>
  <c r="G94" i="3"/>
  <c r="F94" i="3" l="1"/>
  <c r="I94" i="3"/>
  <c r="J94" i="3"/>
  <c r="M94" i="3"/>
  <c r="N94" i="3" s="1"/>
  <c r="V94" i="3"/>
  <c r="AE94" i="3"/>
  <c r="L94" i="3" l="1"/>
  <c r="W94" i="3"/>
  <c r="U94" i="3" l="1"/>
  <c r="D95" i="3" s="1"/>
  <c r="AG95" i="3"/>
  <c r="AH95" i="3"/>
  <c r="Y93" i="3"/>
  <c r="E95" i="3" l="1"/>
  <c r="H95" i="3" s="1"/>
  <c r="K95" i="3" s="1"/>
  <c r="G95" i="3"/>
  <c r="F95" i="3" l="1"/>
  <c r="I95" i="3"/>
  <c r="J95" i="3"/>
  <c r="M95" i="3"/>
  <c r="N95" i="3" s="1"/>
  <c r="V95" i="3"/>
  <c r="AE95" i="3"/>
  <c r="W95" i="3" l="1"/>
  <c r="L95" i="3"/>
  <c r="AG96" i="3" l="1"/>
  <c r="AH96" i="3"/>
  <c r="U95" i="3"/>
  <c r="D96" i="3" s="1"/>
  <c r="Y94" i="3"/>
  <c r="G96" i="3" l="1"/>
  <c r="E96" i="3"/>
  <c r="H96" i="3" s="1"/>
  <c r="F96" i="3" l="1"/>
  <c r="I96" i="3"/>
  <c r="J96" i="3"/>
  <c r="M96" i="3"/>
  <c r="N96" i="3" s="1"/>
  <c r="K96" i="3"/>
  <c r="L96" i="3" l="1"/>
  <c r="V96" i="3"/>
  <c r="W96" i="3" s="1"/>
  <c r="AE96" i="3"/>
  <c r="AG97" i="3" l="1"/>
  <c r="AH97" i="3"/>
  <c r="U96" i="3"/>
  <c r="E97" i="3" s="1"/>
  <c r="H97" i="3" s="1"/>
  <c r="Y95" i="3"/>
  <c r="K97" i="3" l="1"/>
  <c r="D97" i="3"/>
  <c r="V97" i="3" l="1"/>
  <c r="AE97" i="3"/>
  <c r="F97" i="3"/>
  <c r="G97" i="3"/>
  <c r="I97" i="3" l="1"/>
  <c r="W97" i="3" s="1"/>
  <c r="J97" i="3"/>
  <c r="M97" i="3"/>
  <c r="N97" i="3" s="1"/>
  <c r="L97" i="3" l="1"/>
  <c r="U97" i="3" l="1"/>
  <c r="D98" i="3" s="1"/>
  <c r="AH98" i="3"/>
  <c r="AG98" i="3"/>
  <c r="Y96" i="3"/>
  <c r="G98" i="3" l="1"/>
  <c r="E98" i="3"/>
  <c r="H98" i="3" s="1"/>
  <c r="I98" i="3" l="1"/>
  <c r="J98" i="3"/>
  <c r="M98" i="3"/>
  <c r="N98" i="3" s="1"/>
  <c r="F98" i="3"/>
  <c r="K98" i="3"/>
  <c r="L98" i="3" l="1"/>
  <c r="V98" i="3"/>
  <c r="W98" i="3" s="1"/>
  <c r="AE98" i="3"/>
  <c r="AG99" i="3" l="1"/>
  <c r="AH99" i="3"/>
  <c r="U98" i="3"/>
  <c r="D99" i="3" s="1"/>
  <c r="Y97" i="3"/>
  <c r="G99" i="3" l="1"/>
  <c r="E99" i="3"/>
  <c r="H99" i="3" s="1"/>
  <c r="F99" i="3" l="1"/>
  <c r="I99" i="3"/>
  <c r="J99" i="3"/>
  <c r="M99" i="3"/>
  <c r="N99" i="3" s="1"/>
  <c r="K99" i="3"/>
  <c r="V99" i="3" l="1"/>
  <c r="W99" i="3" s="1"/>
  <c r="AE99" i="3"/>
  <c r="L99" i="3"/>
  <c r="U99" i="3" l="1"/>
  <c r="D100" i="3" s="1"/>
  <c r="AH100" i="3"/>
  <c r="AG100" i="3"/>
  <c r="Y98" i="3"/>
  <c r="E100" i="3" l="1"/>
  <c r="H100" i="3" s="1"/>
  <c r="K100" i="3" s="1"/>
  <c r="G100" i="3"/>
  <c r="F100" i="3" l="1"/>
  <c r="V100" i="3"/>
  <c r="AE100" i="3"/>
  <c r="I100" i="3"/>
  <c r="J100" i="3"/>
  <c r="M100" i="3"/>
  <c r="N100" i="3" s="1"/>
  <c r="W100" i="3" l="1"/>
  <c r="L100" i="3"/>
  <c r="AH101" i="3" l="1"/>
  <c r="U100" i="3"/>
  <c r="E101" i="3" s="1"/>
  <c r="H101" i="3" s="1"/>
  <c r="AG101" i="3"/>
  <c r="Y99" i="3"/>
  <c r="K101" i="3" l="1"/>
  <c r="D101" i="3"/>
  <c r="V101" i="3" l="1"/>
  <c r="AE101" i="3"/>
  <c r="F101" i="3"/>
  <c r="G101" i="3"/>
  <c r="I101" i="3" l="1"/>
  <c r="W101" i="3" s="1"/>
  <c r="J101" i="3"/>
  <c r="M101" i="3"/>
  <c r="N101" i="3" s="1"/>
  <c r="L101" i="3" l="1"/>
  <c r="AH102" i="3" l="1"/>
  <c r="AG102" i="3"/>
  <c r="U101" i="3"/>
  <c r="E102" i="3" s="1"/>
  <c r="H102" i="3" s="1"/>
  <c r="Y100" i="3"/>
  <c r="K102" i="3" l="1"/>
  <c r="D102" i="3"/>
  <c r="V102" i="3" l="1"/>
  <c r="AE102" i="3"/>
  <c r="F102" i="3"/>
  <c r="G102" i="3"/>
  <c r="I102" i="3" l="1"/>
  <c r="W102" i="3" s="1"/>
  <c r="J102" i="3"/>
  <c r="M102" i="3"/>
  <c r="N102" i="3" s="1"/>
  <c r="L102" i="3" l="1"/>
  <c r="AG103" i="3" l="1"/>
  <c r="AH103" i="3"/>
  <c r="U102" i="3"/>
  <c r="E103" i="3" s="1"/>
  <c r="H103" i="3" s="1"/>
  <c r="Y101" i="3"/>
  <c r="K103" i="3" l="1"/>
  <c r="D103" i="3"/>
  <c r="V103" i="3" l="1"/>
  <c r="AE103" i="3"/>
  <c r="F103" i="3"/>
  <c r="G103" i="3"/>
  <c r="I103" i="3" l="1"/>
  <c r="W103" i="3" s="1"/>
  <c r="J103" i="3"/>
  <c r="M103" i="3"/>
  <c r="N103" i="3" s="1"/>
  <c r="L103" i="3" l="1"/>
  <c r="AG104" i="3" l="1"/>
  <c r="AH104" i="3"/>
  <c r="U103" i="3"/>
  <c r="E104" i="3" s="1"/>
  <c r="H104" i="3" s="1"/>
  <c r="Y102" i="3"/>
  <c r="K104" i="3" l="1"/>
  <c r="D104" i="3"/>
  <c r="V104" i="3" l="1"/>
  <c r="AE104" i="3"/>
  <c r="F104" i="3"/>
  <c r="G104" i="3"/>
  <c r="I104" i="3" l="1"/>
  <c r="W104" i="3" s="1"/>
  <c r="J104" i="3"/>
  <c r="M104" i="3"/>
  <c r="N104" i="3" s="1"/>
  <c r="L104" i="3" l="1"/>
  <c r="AD104" i="3"/>
  <c r="U104" i="3" l="1"/>
  <c r="E105" i="3" s="1"/>
  <c r="H105" i="3" s="1"/>
  <c r="AG105" i="3"/>
  <c r="AH105" i="3"/>
  <c r="Y103" i="3"/>
  <c r="D105" i="3" l="1"/>
  <c r="G105" i="3" s="1"/>
  <c r="K105" i="3"/>
  <c r="F105" i="3" l="1"/>
  <c r="V105" i="3"/>
  <c r="AE105" i="3"/>
  <c r="I105" i="3"/>
  <c r="J105" i="3"/>
  <c r="M105" i="3"/>
  <c r="N105" i="3" s="1"/>
  <c r="W105" i="3" l="1"/>
  <c r="L105" i="3"/>
  <c r="AH106" i="3" l="1"/>
  <c r="AG106" i="3"/>
  <c r="U105" i="3"/>
  <c r="D106" i="3" s="1"/>
  <c r="Y104" i="3"/>
  <c r="E106" i="3" l="1"/>
  <c r="H106" i="3" s="1"/>
  <c r="K106" i="3" s="1"/>
  <c r="G106" i="3"/>
  <c r="F106" i="3" l="1"/>
  <c r="V106" i="3"/>
  <c r="AE106" i="3"/>
  <c r="I106" i="3"/>
  <c r="J106" i="3"/>
  <c r="M106" i="3"/>
  <c r="N106" i="3" s="1"/>
  <c r="W106" i="3" l="1"/>
  <c r="L106" i="3"/>
  <c r="AG107" i="3" l="1"/>
  <c r="AH107" i="3"/>
  <c r="U106" i="3"/>
  <c r="E107" i="3" s="1"/>
  <c r="H107" i="3" s="1"/>
  <c r="Y105" i="3"/>
  <c r="K107" i="3" l="1"/>
  <c r="D107" i="3"/>
  <c r="V107" i="3" l="1"/>
  <c r="AE107" i="3"/>
  <c r="F107" i="3"/>
  <c r="G107" i="3"/>
  <c r="I107" i="3" l="1"/>
  <c r="W107" i="3" s="1"/>
  <c r="J107" i="3"/>
  <c r="M107" i="3"/>
  <c r="N107" i="3" s="1"/>
  <c r="L107" i="3" l="1"/>
  <c r="AH108" i="3" l="1"/>
  <c r="U107" i="3"/>
  <c r="E108" i="3" s="1"/>
  <c r="H108" i="3" s="1"/>
  <c r="AG108" i="3"/>
  <c r="Y106" i="3"/>
  <c r="D108" i="3" l="1"/>
  <c r="G108" i="3" s="1"/>
  <c r="K108" i="3"/>
  <c r="F108" i="3" l="1"/>
  <c r="I108" i="3"/>
  <c r="J108" i="3"/>
  <c r="M108" i="3"/>
  <c r="N108" i="3" s="1"/>
  <c r="V108" i="3"/>
  <c r="AE108" i="3"/>
  <c r="W108" i="3" l="1"/>
  <c r="L108" i="3"/>
  <c r="AG109" i="3" l="1"/>
  <c r="U108" i="3"/>
  <c r="D109" i="3" s="1"/>
  <c r="AH109" i="3"/>
  <c r="Y107" i="3"/>
  <c r="E109" i="3" l="1"/>
  <c r="H109" i="3" s="1"/>
  <c r="K109" i="3" s="1"/>
  <c r="G109" i="3"/>
  <c r="F109" i="3" l="1"/>
  <c r="V109" i="3"/>
  <c r="AE109" i="3"/>
  <c r="I109" i="3"/>
  <c r="J109" i="3"/>
  <c r="M109" i="3"/>
  <c r="N109" i="3" s="1"/>
  <c r="L109" i="3" l="1"/>
  <c r="W109" i="3"/>
  <c r="AH110" i="3" l="1"/>
  <c r="AG110" i="3"/>
  <c r="U109" i="3"/>
  <c r="D110" i="3" s="1"/>
  <c r="Y108" i="3"/>
  <c r="E110" i="3" l="1"/>
  <c r="H110" i="3" s="1"/>
  <c r="K110" i="3" s="1"/>
  <c r="G110" i="3"/>
  <c r="F110" i="3" l="1"/>
  <c r="I110" i="3"/>
  <c r="J110" i="3"/>
  <c r="M110" i="3"/>
  <c r="N110" i="3" s="1"/>
  <c r="V110" i="3"/>
  <c r="AE110" i="3"/>
  <c r="W110" i="3" l="1"/>
  <c r="L110" i="3"/>
  <c r="AH111" i="3" l="1"/>
  <c r="U110" i="3"/>
  <c r="E111" i="3" s="1"/>
  <c r="H111" i="3" s="1"/>
  <c r="AG111" i="3"/>
  <c r="Y109" i="3"/>
  <c r="D111" i="3" l="1"/>
  <c r="G111" i="3" s="1"/>
  <c r="K111" i="3"/>
  <c r="F111" i="3" l="1"/>
  <c r="I111" i="3"/>
  <c r="J111" i="3"/>
  <c r="M111" i="3"/>
  <c r="N111" i="3" s="1"/>
  <c r="V111" i="3"/>
  <c r="AE111" i="3"/>
  <c r="W111" i="3" l="1"/>
  <c r="L111" i="3"/>
  <c r="AH112" i="3" l="1"/>
  <c r="U111" i="3"/>
  <c r="D112" i="3" s="1"/>
  <c r="AG112" i="3"/>
  <c r="Y110" i="3"/>
  <c r="E112" i="3" l="1"/>
  <c r="H112" i="3" s="1"/>
  <c r="K112" i="3" s="1"/>
  <c r="G112" i="3"/>
  <c r="F112" i="3" l="1"/>
  <c r="V112" i="3"/>
  <c r="AE112" i="3"/>
  <c r="I112" i="3"/>
  <c r="J112" i="3"/>
  <c r="M112" i="3"/>
  <c r="N112" i="3" s="1"/>
  <c r="W112" i="3" l="1"/>
  <c r="L112" i="3"/>
  <c r="AG113" i="3" l="1"/>
  <c r="U112" i="3"/>
  <c r="E113" i="3" s="1"/>
  <c r="H113" i="3" s="1"/>
  <c r="AH113" i="3"/>
  <c r="Y111" i="3"/>
  <c r="D113" i="3" l="1"/>
  <c r="G113" i="3" s="1"/>
  <c r="K113" i="3"/>
  <c r="F113" i="3" l="1"/>
  <c r="V113" i="3"/>
  <c r="AE113" i="3"/>
  <c r="I113" i="3"/>
  <c r="J113" i="3"/>
  <c r="M113" i="3"/>
  <c r="N113" i="3" s="1"/>
  <c r="W113" i="3" l="1"/>
  <c r="L113" i="3"/>
  <c r="AH114" i="3" l="1"/>
  <c r="U113" i="3"/>
  <c r="D114" i="3" s="1"/>
  <c r="AG114" i="3"/>
  <c r="Y112" i="3"/>
  <c r="E114" i="3" l="1"/>
  <c r="H114" i="3" s="1"/>
  <c r="K114" i="3" s="1"/>
  <c r="G114" i="3"/>
  <c r="F114" i="3" l="1"/>
  <c r="I114" i="3"/>
  <c r="J114" i="3"/>
  <c r="M114" i="3"/>
  <c r="N114" i="3" s="1"/>
  <c r="V114" i="3"/>
  <c r="AE114" i="3"/>
  <c r="W114" i="3" l="1"/>
  <c r="L114" i="3"/>
  <c r="U114" i="3" l="1"/>
  <c r="D115" i="3" s="1"/>
  <c r="AH115" i="3"/>
  <c r="AG115" i="3"/>
  <c r="Y113" i="3"/>
  <c r="G115" i="3" l="1"/>
  <c r="E115" i="3"/>
  <c r="H115" i="3" s="1"/>
  <c r="F115" i="3" l="1"/>
  <c r="I115" i="3"/>
  <c r="J115" i="3"/>
  <c r="M115" i="3"/>
  <c r="N115" i="3" s="1"/>
  <c r="K115" i="3"/>
  <c r="V115" i="3" l="1"/>
  <c r="W115" i="3" s="1"/>
  <c r="AE115" i="3"/>
  <c r="L115" i="3"/>
  <c r="AH116" i="3" l="1"/>
  <c r="U115" i="3"/>
  <c r="E116" i="3" s="1"/>
  <c r="H116" i="3" s="1"/>
  <c r="AG116" i="3"/>
  <c r="Y114" i="3"/>
  <c r="K116" i="3" l="1"/>
  <c r="D116" i="3"/>
  <c r="V116" i="3" l="1"/>
  <c r="AE116" i="3"/>
  <c r="F116" i="3"/>
  <c r="G116" i="3"/>
  <c r="I116" i="3" l="1"/>
  <c r="W116" i="3" s="1"/>
  <c r="J116" i="3"/>
  <c r="M116" i="3"/>
  <c r="N116" i="3" s="1"/>
  <c r="L116" i="3" l="1"/>
  <c r="U116" i="3" l="1"/>
  <c r="D117" i="3" s="1"/>
  <c r="AH117" i="3"/>
  <c r="AG117" i="3"/>
  <c r="Y115" i="3"/>
  <c r="E117" i="3" l="1"/>
  <c r="H117" i="3" s="1"/>
  <c r="K117" i="3" s="1"/>
  <c r="G117" i="3"/>
  <c r="F117" i="3" l="1"/>
  <c r="I117" i="3"/>
  <c r="J117" i="3"/>
  <c r="M117" i="3"/>
  <c r="N117" i="3" s="1"/>
  <c r="V117" i="3"/>
  <c r="AE117" i="3"/>
  <c r="W117" i="3" l="1"/>
  <c r="L117" i="3"/>
  <c r="AG118" i="3" l="1"/>
  <c r="U117" i="3"/>
  <c r="D118" i="3" s="1"/>
  <c r="AH118" i="3"/>
  <c r="Y116" i="3"/>
  <c r="E118" i="3" l="1"/>
  <c r="H118" i="3" s="1"/>
  <c r="K118" i="3" s="1"/>
  <c r="G118" i="3"/>
  <c r="F118" i="3" l="1"/>
  <c r="I118" i="3"/>
  <c r="J118" i="3"/>
  <c r="M118" i="3"/>
  <c r="N118" i="3" s="1"/>
  <c r="V118" i="3"/>
  <c r="AE118" i="3"/>
  <c r="L118" i="3" l="1"/>
  <c r="W118" i="3"/>
  <c r="U118" i="3" l="1"/>
  <c r="E119" i="3" s="1"/>
  <c r="H119" i="3" s="1"/>
  <c r="AG119" i="3"/>
  <c r="AH119" i="3"/>
  <c r="Y117" i="3"/>
  <c r="D119" i="3" l="1"/>
  <c r="F119" i="3" s="1"/>
  <c r="K119" i="3"/>
  <c r="G119" i="3" l="1"/>
  <c r="M119" i="3" s="1"/>
  <c r="N119" i="3" s="1"/>
  <c r="V119" i="3"/>
  <c r="AE119" i="3"/>
  <c r="I119" i="3" l="1"/>
  <c r="W119" i="3" s="1"/>
  <c r="J119" i="3"/>
  <c r="L119" i="3" s="1"/>
  <c r="AH120" i="3" l="1"/>
  <c r="U119" i="3"/>
  <c r="D120" i="3" s="1"/>
  <c r="AG120" i="3"/>
  <c r="Y118" i="3"/>
  <c r="E120" i="3" l="1"/>
  <c r="H120" i="3" s="1"/>
  <c r="K120" i="3" s="1"/>
  <c r="G120" i="3"/>
  <c r="F120" i="3" l="1"/>
  <c r="I120" i="3"/>
  <c r="J120" i="3"/>
  <c r="M120" i="3"/>
  <c r="N120" i="3" s="1"/>
  <c r="V120" i="3"/>
  <c r="AE120" i="3"/>
  <c r="W120" i="3" l="1"/>
  <c r="L120" i="3"/>
  <c r="U120" i="3" l="1"/>
  <c r="E121" i="3" s="1"/>
  <c r="H121" i="3" s="1"/>
  <c r="AH121" i="3"/>
  <c r="AG121" i="3"/>
  <c r="Y119" i="3"/>
  <c r="D121" i="3" l="1"/>
  <c r="G121" i="3" s="1"/>
  <c r="K121" i="3"/>
  <c r="F121" i="3" l="1"/>
  <c r="I121" i="3"/>
  <c r="J121" i="3"/>
  <c r="M121" i="3"/>
  <c r="N121" i="3" s="1"/>
  <c r="V121" i="3"/>
  <c r="AE121" i="3"/>
  <c r="L121" i="3" l="1"/>
  <c r="W121" i="3"/>
  <c r="U121" i="3" l="1"/>
  <c r="D122" i="3" s="1"/>
  <c r="AG122" i="3"/>
  <c r="AH122" i="3"/>
  <c r="Y120" i="3"/>
  <c r="G122" i="3" l="1"/>
  <c r="E122" i="3"/>
  <c r="H122" i="3" s="1"/>
  <c r="F122" i="3" l="1"/>
  <c r="K122" i="3"/>
  <c r="I122" i="3"/>
  <c r="J122" i="3"/>
  <c r="M122" i="3"/>
  <c r="N122" i="3" s="1"/>
  <c r="L122" i="3" l="1"/>
  <c r="V122" i="3"/>
  <c r="W122" i="3" s="1"/>
  <c r="AE122" i="3"/>
  <c r="U122" i="3" l="1"/>
  <c r="D123" i="3" s="1"/>
  <c r="AH123" i="3"/>
  <c r="AG123" i="3"/>
  <c r="Y121" i="3"/>
  <c r="G123" i="3" l="1"/>
  <c r="E123" i="3"/>
  <c r="H123" i="3" s="1"/>
  <c r="I123" i="3" l="1"/>
  <c r="J123" i="3"/>
  <c r="M123" i="3"/>
  <c r="N123" i="3" s="1"/>
  <c r="K123" i="3"/>
  <c r="F123" i="3"/>
  <c r="V123" i="3" l="1"/>
  <c r="W123" i="3" s="1"/>
  <c r="AE123" i="3"/>
  <c r="L123" i="3"/>
  <c r="U123" i="3" l="1"/>
  <c r="D124" i="3" s="1"/>
  <c r="AH124" i="3"/>
  <c r="AG124" i="3"/>
  <c r="Y122" i="3"/>
  <c r="E124" i="3" l="1"/>
  <c r="H124" i="3" s="1"/>
  <c r="K124" i="3" s="1"/>
  <c r="G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K125" i="3" l="1"/>
  <c r="D125" i="3"/>
  <c r="V125" i="3" l="1"/>
  <c r="AE125" i="3"/>
  <c r="F125" i="3"/>
  <c r="G125" i="3"/>
  <c r="I125" i="3" l="1"/>
  <c r="W125" i="3" s="1"/>
  <c r="J125" i="3"/>
  <c r="M125" i="3"/>
  <c r="N125" i="3" s="1"/>
  <c r="L125" i="3" l="1"/>
  <c r="AG126" i="3" l="1"/>
  <c r="AH126" i="3"/>
  <c r="U125" i="3"/>
  <c r="D126" i="3" s="1"/>
  <c r="Y124" i="3"/>
  <c r="E126" i="3" l="1"/>
  <c r="H126" i="3" s="1"/>
  <c r="K126" i="3" s="1"/>
  <c r="G126" i="3"/>
  <c r="F126" i="3" l="1"/>
  <c r="I126" i="3"/>
  <c r="J126" i="3"/>
  <c r="M126" i="3"/>
  <c r="N126" i="3" s="1"/>
  <c r="V126" i="3"/>
  <c r="AE126" i="3"/>
  <c r="W126" i="3" l="1"/>
  <c r="L126" i="3"/>
  <c r="U126" i="3" l="1"/>
  <c r="E127" i="3" s="1"/>
  <c r="H127" i="3" s="1"/>
  <c r="AH127" i="3"/>
  <c r="AG127" i="3"/>
  <c r="Y125" i="3"/>
  <c r="D127" i="3" l="1"/>
  <c r="G127" i="3" s="1"/>
  <c r="K127" i="3"/>
  <c r="F127" i="3" l="1"/>
  <c r="I127" i="3"/>
  <c r="J127" i="3"/>
  <c r="M127" i="3"/>
  <c r="N127" i="3" s="1"/>
  <c r="V127" i="3"/>
  <c r="AE127" i="3"/>
  <c r="W127" i="3" l="1"/>
  <c r="L127" i="3"/>
  <c r="AH128" i="3" l="1"/>
  <c r="U127" i="3"/>
  <c r="E128" i="3" s="1"/>
  <c r="H128" i="3" s="1"/>
  <c r="AG128" i="3"/>
  <c r="Y126" i="3"/>
  <c r="D128" i="3" l="1"/>
  <c r="G128" i="3" s="1"/>
  <c r="K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G129" i="3" l="1"/>
  <c r="E129" i="3"/>
  <c r="H129" i="3" s="1"/>
  <c r="F129" i="3" l="1"/>
  <c r="I129" i="3"/>
  <c r="J129" i="3"/>
  <c r="M129" i="3"/>
  <c r="N129" i="3" s="1"/>
  <c r="K129" i="3"/>
  <c r="V129" i="3" l="1"/>
  <c r="W129" i="3" s="1"/>
  <c r="AE129" i="3"/>
  <c r="L129" i="3"/>
  <c r="U129" i="3" l="1"/>
  <c r="E130" i="3" s="1"/>
  <c r="H130" i="3" s="1"/>
  <c r="AH130" i="3"/>
  <c r="AG130" i="3"/>
  <c r="Y128" i="3"/>
  <c r="D130" i="3" l="1"/>
  <c r="G130" i="3" s="1"/>
  <c r="K130" i="3"/>
  <c r="F130" i="3" l="1"/>
  <c r="V130" i="3"/>
  <c r="AE130" i="3"/>
  <c r="I130" i="3"/>
  <c r="J130" i="3"/>
  <c r="M130" i="3"/>
  <c r="N130" i="3" s="1"/>
  <c r="L130" i="3" l="1"/>
  <c r="W130" i="3"/>
  <c r="U130" i="3" l="1"/>
  <c r="E131" i="3" s="1"/>
  <c r="H131" i="3" s="1"/>
  <c r="AH131" i="3"/>
  <c r="AG131" i="3"/>
  <c r="Y129" i="3"/>
  <c r="D131" i="3" l="1"/>
  <c r="F131" i="3" s="1"/>
  <c r="K131" i="3"/>
  <c r="G131" i="3" l="1"/>
  <c r="M131" i="3" s="1"/>
  <c r="N131" i="3" s="1"/>
  <c r="V131" i="3"/>
  <c r="AE131" i="3"/>
  <c r="J131" i="3" l="1"/>
  <c r="L131" i="3" s="1"/>
  <c r="I131" i="3"/>
  <c r="W131" i="3" s="1"/>
  <c r="U131" i="3" l="1"/>
  <c r="E132" i="3" s="1"/>
  <c r="H132" i="3" s="1"/>
  <c r="AH132" i="3"/>
  <c r="AG132" i="3"/>
  <c r="Y130" i="3"/>
  <c r="K132" i="3" l="1"/>
  <c r="D132" i="3"/>
  <c r="V132" i="3" l="1"/>
  <c r="AE132" i="3"/>
  <c r="F132" i="3"/>
  <c r="G132" i="3"/>
  <c r="I132" i="3" l="1"/>
  <c r="W132" i="3" s="1"/>
  <c r="J132" i="3"/>
  <c r="M132" i="3"/>
  <c r="N132" i="3" s="1"/>
  <c r="L132" i="3" l="1"/>
  <c r="U132" i="3" l="1"/>
  <c r="D133" i="3" s="1"/>
  <c r="AH133" i="3"/>
  <c r="AG133" i="3"/>
  <c r="Y131" i="3"/>
  <c r="E133" i="3" l="1"/>
  <c r="H133" i="3" s="1"/>
  <c r="K133" i="3" s="1"/>
  <c r="G133" i="3"/>
  <c r="F133" i="3" l="1"/>
  <c r="V133" i="3"/>
  <c r="AE133" i="3"/>
  <c r="I133" i="3"/>
  <c r="J133" i="3"/>
  <c r="M133" i="3"/>
  <c r="N133" i="3" s="1"/>
  <c r="W133" i="3" l="1"/>
  <c r="L133" i="3"/>
  <c r="AG134" i="3" l="1"/>
  <c r="U133" i="3"/>
  <c r="D134" i="3" s="1"/>
  <c r="AH134" i="3"/>
  <c r="Y132" i="3"/>
  <c r="E134" i="3" l="1"/>
  <c r="H134" i="3" s="1"/>
  <c r="K134" i="3" s="1"/>
  <c r="G134" i="3"/>
  <c r="F134" i="3" l="1"/>
  <c r="I134" i="3"/>
  <c r="J134" i="3"/>
  <c r="AD134" i="3" s="1"/>
  <c r="M134" i="3"/>
  <c r="N134" i="3" s="1"/>
  <c r="V134" i="3"/>
  <c r="AE134" i="3"/>
  <c r="W134" i="3" l="1"/>
  <c r="L134" i="3"/>
  <c r="U134" i="3" l="1"/>
  <c r="E135" i="3" s="1"/>
  <c r="H135" i="3" s="1"/>
  <c r="AH135" i="3"/>
  <c r="AG135" i="3"/>
  <c r="Y133" i="3"/>
  <c r="K135" i="3" l="1"/>
  <c r="D135" i="3"/>
  <c r="V135" i="3" l="1"/>
  <c r="AE135" i="3"/>
  <c r="F135" i="3"/>
  <c r="G135" i="3"/>
  <c r="I135" i="3" l="1"/>
  <c r="W135" i="3" s="1"/>
  <c r="J135" i="3"/>
  <c r="M135" i="3"/>
  <c r="N135" i="3" s="1"/>
  <c r="L135" i="3" l="1"/>
  <c r="AH136" i="3" l="1"/>
  <c r="U135" i="3"/>
  <c r="D136" i="3" s="1"/>
  <c r="AG136" i="3"/>
  <c r="Y134" i="3"/>
  <c r="E136" i="3" l="1"/>
  <c r="H136" i="3" s="1"/>
  <c r="K136" i="3" s="1"/>
  <c r="G136" i="3"/>
  <c r="F136" i="3" l="1"/>
  <c r="I136" i="3"/>
  <c r="J136" i="3"/>
  <c r="M136" i="3"/>
  <c r="N136" i="3" s="1"/>
  <c r="V136" i="3"/>
  <c r="AE136" i="3"/>
  <c r="W136" i="3" l="1"/>
  <c r="L136" i="3"/>
  <c r="U136" i="3" l="1"/>
  <c r="D137" i="3" s="1"/>
  <c r="AH137" i="3"/>
  <c r="AG137" i="3"/>
  <c r="Y135" i="3"/>
  <c r="E137" i="3" l="1"/>
  <c r="H137" i="3" s="1"/>
  <c r="K137" i="3" s="1"/>
  <c r="G137" i="3"/>
  <c r="F137" i="3" l="1"/>
  <c r="I137" i="3"/>
  <c r="J137" i="3"/>
  <c r="M137" i="3"/>
  <c r="N137" i="3" s="1"/>
  <c r="V137" i="3"/>
  <c r="AE137" i="3"/>
  <c r="W137" i="3" l="1"/>
  <c r="L137" i="3"/>
  <c r="AH138" i="3" l="1"/>
  <c r="U137" i="3"/>
  <c r="E138" i="3" s="1"/>
  <c r="H138" i="3" s="1"/>
  <c r="AG138" i="3"/>
  <c r="Y136" i="3"/>
  <c r="D138" i="3" l="1"/>
  <c r="F138" i="3" s="1"/>
  <c r="K138" i="3"/>
  <c r="G138" i="3" l="1"/>
  <c r="M138" i="3" s="1"/>
  <c r="N138" i="3" s="1"/>
  <c r="V138" i="3"/>
  <c r="AE138" i="3"/>
  <c r="I138" i="3" l="1"/>
  <c r="W138" i="3" s="1"/>
  <c r="J138" i="3"/>
  <c r="L138" i="3" s="1"/>
  <c r="U138" i="3" l="1"/>
  <c r="E139" i="3" s="1"/>
  <c r="H139" i="3" s="1"/>
  <c r="AG139" i="3"/>
  <c r="AH139" i="3"/>
  <c r="Y137" i="3"/>
  <c r="D139" i="3" l="1"/>
  <c r="G139" i="3" s="1"/>
  <c r="K139" i="3"/>
  <c r="F139" i="3" l="1"/>
  <c r="V139" i="3"/>
  <c r="AE139" i="3"/>
  <c r="I139" i="3"/>
  <c r="J139" i="3"/>
  <c r="M139" i="3"/>
  <c r="N139" i="3" s="1"/>
  <c r="W139" i="3" l="1"/>
  <c r="L139" i="3"/>
  <c r="AG140" i="3" l="1"/>
  <c r="U139" i="3"/>
  <c r="E140" i="3" s="1"/>
  <c r="H140" i="3" s="1"/>
  <c r="AH140" i="3"/>
  <c r="Y138" i="3"/>
  <c r="D140" i="3" l="1"/>
  <c r="G140" i="3" s="1"/>
  <c r="K140" i="3"/>
  <c r="F140" i="3" l="1"/>
  <c r="V140" i="3"/>
  <c r="AE140" i="3"/>
  <c r="I140" i="3"/>
  <c r="J140" i="3"/>
  <c r="M140" i="3"/>
  <c r="N140" i="3" s="1"/>
  <c r="W140" i="3" l="1"/>
  <c r="L140" i="3"/>
  <c r="AG141" i="3" l="1"/>
  <c r="U140" i="3"/>
  <c r="D141" i="3" s="1"/>
  <c r="AH141" i="3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U141" i="3" l="1"/>
  <c r="D142" i="3" s="1"/>
  <c r="AH142" i="3"/>
  <c r="AG142" i="3"/>
  <c r="Y140" i="3"/>
  <c r="E142" i="3" l="1"/>
  <c r="H142" i="3" s="1"/>
  <c r="K142" i="3" s="1"/>
  <c r="G142" i="3"/>
  <c r="F142" i="3" l="1"/>
  <c r="V142" i="3"/>
  <c r="AE142" i="3"/>
  <c r="I142" i="3"/>
  <c r="J142" i="3"/>
  <c r="M142" i="3"/>
  <c r="N142" i="3" s="1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M143" i="3" s="1"/>
  <c r="N143" i="3" s="1"/>
  <c r="V143" i="3"/>
  <c r="AE143" i="3"/>
  <c r="J143" i="3" l="1"/>
  <c r="L143" i="3" s="1"/>
  <c r="I143" i="3"/>
  <c r="W143" i="3" s="1"/>
  <c r="U143" i="3" l="1"/>
  <c r="D144" i="3" s="1"/>
  <c r="AG144" i="3"/>
  <c r="AH144" i="3"/>
  <c r="Y142" i="3"/>
  <c r="E144" i="3" l="1"/>
  <c r="H144" i="3" s="1"/>
  <c r="K144" i="3" s="1"/>
  <c r="G144" i="3"/>
  <c r="F144" i="3" l="1"/>
  <c r="V144" i="3"/>
  <c r="AE144" i="3"/>
  <c r="I144" i="3"/>
  <c r="J144" i="3"/>
  <c r="AD144" i="3" s="1"/>
  <c r="M144" i="3"/>
  <c r="N144" i="3" s="1"/>
  <c r="W144" i="3" l="1"/>
  <c r="L144" i="3"/>
  <c r="AH145" i="3" l="1"/>
  <c r="AG145" i="3"/>
  <c r="U144" i="3"/>
  <c r="D145" i="3" s="1"/>
  <c r="Y143" i="3"/>
  <c r="E145" i="3" l="1"/>
  <c r="H145" i="3" s="1"/>
  <c r="K145" i="3" s="1"/>
  <c r="G145" i="3"/>
  <c r="F145" i="3" l="1"/>
  <c r="I145" i="3"/>
  <c r="J145" i="3"/>
  <c r="M145" i="3"/>
  <c r="N145" i="3" s="1"/>
  <c r="V145" i="3"/>
  <c r="AE145" i="3"/>
  <c r="W145" i="3" l="1"/>
  <c r="L145" i="3"/>
  <c r="U145" i="3" l="1"/>
  <c r="D146" i="3" s="1"/>
  <c r="AH146" i="3"/>
  <c r="AG146" i="3"/>
  <c r="Y144" i="3"/>
  <c r="E146" i="3" l="1"/>
  <c r="H146" i="3" s="1"/>
  <c r="K146" i="3" s="1"/>
  <c r="G146" i="3"/>
  <c r="F146" i="3" l="1"/>
  <c r="I146" i="3"/>
  <c r="J146" i="3"/>
  <c r="M146" i="3"/>
  <c r="N146" i="3" s="1"/>
  <c r="V146" i="3"/>
  <c r="AE146" i="3"/>
  <c r="W146" i="3" l="1"/>
  <c r="L146" i="3"/>
  <c r="U146" i="3" l="1"/>
  <c r="D147" i="3" s="1"/>
  <c r="AG147" i="3"/>
  <c r="AH147" i="3"/>
  <c r="Y145" i="3"/>
  <c r="E147" i="3" l="1"/>
  <c r="H147" i="3" s="1"/>
  <c r="K147" i="3" s="1"/>
  <c r="G147" i="3"/>
  <c r="F147" i="3" l="1"/>
  <c r="V147" i="3"/>
  <c r="AE147" i="3"/>
  <c r="I147" i="3"/>
  <c r="J147" i="3"/>
  <c r="M147" i="3"/>
  <c r="N147" i="3" s="1"/>
  <c r="W147" i="3" l="1"/>
  <c r="L147" i="3"/>
  <c r="AG148" i="3" l="1"/>
  <c r="U147" i="3"/>
  <c r="E148" i="3" s="1"/>
  <c r="H148" i="3" s="1"/>
  <c r="AH148" i="3"/>
  <c r="Y146" i="3"/>
  <c r="K148" i="3" l="1"/>
  <c r="D148" i="3"/>
  <c r="V148" i="3" l="1"/>
  <c r="AE148" i="3"/>
  <c r="F148" i="3"/>
  <c r="G148" i="3"/>
  <c r="I148" i="3" l="1"/>
  <c r="W148" i="3" s="1"/>
  <c r="J148" i="3"/>
  <c r="M148" i="3"/>
  <c r="N148" i="3" s="1"/>
  <c r="L148" i="3" l="1"/>
  <c r="AG149" i="3" l="1"/>
  <c r="U148" i="3"/>
  <c r="D149" i="3" s="1"/>
  <c r="AH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AE149" i="3"/>
  <c r="W149" i="3" l="1"/>
  <c r="L149" i="3"/>
  <c r="AH150" i="3" l="1"/>
  <c r="U149" i="3"/>
  <c r="D150" i="3" s="1"/>
  <c r="AG150" i="3"/>
  <c r="Y148" i="3"/>
  <c r="E150" i="3" l="1"/>
  <c r="H150" i="3" s="1"/>
  <c r="K150" i="3" s="1"/>
  <c r="G150" i="3"/>
  <c r="F150" i="3" l="1"/>
  <c r="I150" i="3"/>
  <c r="J150" i="3"/>
  <c r="M150" i="3"/>
  <c r="N150" i="3" s="1"/>
  <c r="V150" i="3"/>
  <c r="AE150" i="3"/>
  <c r="W150" i="3" l="1"/>
  <c r="L150" i="3"/>
  <c r="AH151" i="3" l="1"/>
  <c r="U150" i="3"/>
  <c r="E151" i="3" s="1"/>
  <c r="H151" i="3" s="1"/>
  <c r="AG151" i="3"/>
  <c r="Y149" i="3"/>
  <c r="D151" i="3" l="1"/>
  <c r="G151" i="3" s="1"/>
  <c r="K151" i="3"/>
  <c r="F151" i="3" l="1"/>
  <c r="I151" i="3"/>
  <c r="J151" i="3"/>
  <c r="M151" i="3"/>
  <c r="N151" i="3" s="1"/>
  <c r="V151" i="3"/>
  <c r="AE151" i="3"/>
  <c r="W151" i="3" l="1"/>
  <c r="L151" i="3"/>
  <c r="AH152" i="3" l="1"/>
  <c r="AG152" i="3"/>
  <c r="U151" i="3"/>
  <c r="E152" i="3" s="1"/>
  <c r="H152" i="3" s="1"/>
  <c r="Y150" i="3"/>
  <c r="D152" i="3" l="1"/>
  <c r="G152" i="3" s="1"/>
  <c r="K152" i="3"/>
  <c r="F152" i="3" l="1"/>
  <c r="V152" i="3"/>
  <c r="AE152" i="3"/>
  <c r="I152" i="3"/>
  <c r="J152" i="3"/>
  <c r="M152" i="3"/>
  <c r="N152" i="3" s="1"/>
  <c r="W152" i="3" l="1"/>
  <c r="L152" i="3"/>
  <c r="AH153" i="3" l="1"/>
  <c r="U152" i="3"/>
  <c r="D153" i="3" s="1"/>
  <c r="AG153" i="3"/>
  <c r="Y151" i="3"/>
  <c r="G153" i="3" l="1"/>
  <c r="E153" i="3"/>
  <c r="H153" i="3" s="1"/>
  <c r="K153" i="3" l="1"/>
  <c r="I153" i="3"/>
  <c r="J153" i="3"/>
  <c r="M153" i="3"/>
  <c r="N153" i="3" s="1"/>
  <c r="F153" i="3"/>
  <c r="V153" i="3" l="1"/>
  <c r="W153" i="3" s="1"/>
  <c r="AE153" i="3"/>
  <c r="L153" i="3"/>
  <c r="U153" i="3" l="1"/>
  <c r="D154" i="3" s="1"/>
  <c r="AG154" i="3"/>
  <c r="AH154" i="3"/>
  <c r="Y152" i="3"/>
  <c r="E154" i="3" l="1"/>
  <c r="H154" i="3" s="1"/>
  <c r="K154" i="3" s="1"/>
  <c r="G154" i="3"/>
  <c r="F154" i="3" l="1"/>
  <c r="I154" i="3"/>
  <c r="J154" i="3"/>
  <c r="M154" i="3"/>
  <c r="N154" i="3" s="1"/>
  <c r="V154" i="3"/>
  <c r="AE154" i="3"/>
  <c r="L154" i="3" l="1"/>
  <c r="W154" i="3"/>
  <c r="U154" i="3" l="1"/>
  <c r="E155" i="3" s="1"/>
  <c r="H155" i="3" s="1"/>
  <c r="AH155" i="3"/>
  <c r="AG155" i="3"/>
  <c r="Y153" i="3"/>
  <c r="D155" i="3" l="1"/>
  <c r="G155" i="3" s="1"/>
  <c r="K155" i="3"/>
  <c r="F155" i="3" l="1"/>
  <c r="V155" i="3"/>
  <c r="AE155" i="3"/>
  <c r="I155" i="3"/>
  <c r="J155" i="3"/>
  <c r="M155" i="3"/>
  <c r="N155" i="3" s="1"/>
  <c r="W155" i="3" l="1"/>
  <c r="L155" i="3"/>
  <c r="AG156" i="3" l="1"/>
  <c r="U155" i="3"/>
  <c r="D156" i="3" s="1"/>
  <c r="AH156" i="3"/>
  <c r="Y154" i="3"/>
  <c r="E156" i="3" l="1"/>
  <c r="H156" i="3" s="1"/>
  <c r="K156" i="3" s="1"/>
  <c r="G156" i="3"/>
  <c r="F156" i="3" l="1"/>
  <c r="V156" i="3"/>
  <c r="AE156" i="3"/>
  <c r="I156" i="3"/>
  <c r="J156" i="3"/>
  <c r="M156" i="3"/>
  <c r="N156" i="3" s="1"/>
  <c r="W156" i="3" l="1"/>
  <c r="L156" i="3"/>
  <c r="U156" i="3" l="1"/>
  <c r="E157" i="3" s="1"/>
  <c r="H157" i="3" s="1"/>
  <c r="AH157" i="3"/>
  <c r="AG157" i="3"/>
  <c r="Y155" i="3"/>
  <c r="D157" i="3" l="1"/>
  <c r="G157" i="3" s="1"/>
  <c r="K157" i="3"/>
  <c r="F157" i="3" l="1"/>
  <c r="I157" i="3"/>
  <c r="J157" i="3"/>
  <c r="M157" i="3"/>
  <c r="N157" i="3" s="1"/>
  <c r="V157" i="3"/>
  <c r="AE157" i="3"/>
  <c r="W157" i="3" l="1"/>
  <c r="L157" i="3"/>
  <c r="U157" i="3" l="1"/>
  <c r="E158" i="3" s="1"/>
  <c r="H158" i="3" s="1"/>
  <c r="AH158" i="3"/>
  <c r="AG158" i="3"/>
  <c r="Y156" i="3"/>
  <c r="D158" i="3" l="1"/>
  <c r="F158" i="3" s="1"/>
  <c r="K158" i="3"/>
  <c r="G158" i="3" l="1"/>
  <c r="I158" i="3" s="1"/>
  <c r="V158" i="3"/>
  <c r="AE158" i="3"/>
  <c r="M158" i="3" l="1"/>
  <c r="N158" i="3" s="1"/>
  <c r="J158" i="3"/>
  <c r="L158" i="3" s="1"/>
  <c r="W158" i="3"/>
  <c r="U158" i="3" l="1"/>
  <c r="E159" i="3" s="1"/>
  <c r="H159" i="3" s="1"/>
  <c r="AG159" i="3"/>
  <c r="AH159" i="3"/>
  <c r="Y157" i="3"/>
  <c r="D159" i="3" l="1"/>
  <c r="F159" i="3" s="1"/>
  <c r="K159" i="3"/>
  <c r="G159" i="3" l="1"/>
  <c r="M159" i="3" s="1"/>
  <c r="N159" i="3" s="1"/>
  <c r="V159" i="3"/>
  <c r="AE159" i="3"/>
  <c r="I159" i="3" l="1"/>
  <c r="W159" i="3" s="1"/>
  <c r="J159" i="3"/>
  <c r="L159" i="3" s="1"/>
  <c r="AH160" i="3" l="1"/>
  <c r="U159" i="3"/>
  <c r="E160" i="3" s="1"/>
  <c r="H160" i="3" s="1"/>
  <c r="AG160" i="3"/>
  <c r="Y158" i="3"/>
  <c r="D160" i="3" l="1"/>
  <c r="G160" i="3" s="1"/>
  <c r="K160" i="3"/>
  <c r="F160" i="3" l="1"/>
  <c r="I160" i="3"/>
  <c r="J160" i="3"/>
  <c r="M160" i="3"/>
  <c r="N160" i="3" s="1"/>
  <c r="V160" i="3"/>
  <c r="AE160" i="3"/>
  <c r="W160" i="3" l="1"/>
  <c r="L160" i="3"/>
  <c r="AG161" i="3" l="1"/>
  <c r="AH161" i="3"/>
  <c r="U160" i="3"/>
  <c r="E161" i="3" s="1"/>
  <c r="H161" i="3" s="1"/>
  <c r="Y159" i="3"/>
  <c r="D161" i="3" l="1"/>
  <c r="G161" i="3" s="1"/>
  <c r="K161" i="3"/>
  <c r="F161" i="3" l="1"/>
  <c r="I161" i="3"/>
  <c r="J161" i="3"/>
  <c r="M161" i="3"/>
  <c r="N161" i="3" s="1"/>
  <c r="V161" i="3"/>
  <c r="AE161" i="3"/>
  <c r="W161" i="3" l="1"/>
  <c r="L161" i="3"/>
  <c r="U161" i="3" l="1"/>
  <c r="D162" i="3" s="1"/>
  <c r="AG162" i="3"/>
  <c r="AH162" i="3"/>
  <c r="Y160" i="3"/>
  <c r="G162" i="3" l="1"/>
  <c r="E162" i="3"/>
  <c r="H162" i="3" s="1"/>
  <c r="F162" i="3" l="1"/>
  <c r="I162" i="3"/>
  <c r="J162" i="3"/>
  <c r="M162" i="3"/>
  <c r="N162" i="3" s="1"/>
  <c r="K162" i="3"/>
  <c r="V162" i="3" l="1"/>
  <c r="W162" i="3" s="1"/>
  <c r="AE162" i="3"/>
  <c r="L162" i="3"/>
  <c r="U162" i="3" l="1"/>
  <c r="D163" i="3" s="1"/>
  <c r="AH163" i="3"/>
  <c r="AG163" i="3"/>
  <c r="Y161" i="3"/>
  <c r="E163" i="3" l="1"/>
  <c r="H163" i="3" s="1"/>
  <c r="K163" i="3" s="1"/>
  <c r="G163" i="3"/>
  <c r="F163" i="3" l="1"/>
  <c r="V163" i="3"/>
  <c r="AE163" i="3"/>
  <c r="I163" i="3"/>
  <c r="J163" i="3"/>
  <c r="M163" i="3"/>
  <c r="N163" i="3" s="1"/>
  <c r="W163" i="3" l="1"/>
  <c r="L163" i="3"/>
  <c r="AH164" i="3" l="1"/>
  <c r="U163" i="3"/>
  <c r="D164" i="3" s="1"/>
  <c r="AG164" i="3"/>
  <c r="Y162" i="3"/>
  <c r="E164" i="3" l="1"/>
  <c r="H164" i="3" s="1"/>
  <c r="K164" i="3" s="1"/>
  <c r="G164" i="3"/>
  <c r="F164" i="3" l="1"/>
  <c r="I164" i="3"/>
  <c r="J164" i="3"/>
  <c r="M164" i="3"/>
  <c r="N164" i="3" s="1"/>
  <c r="V164" i="3"/>
  <c r="AE164" i="3"/>
  <c r="W164" i="3" l="1"/>
  <c r="L164" i="3"/>
  <c r="U164" i="3" l="1"/>
  <c r="D165" i="3" s="1"/>
  <c r="AG165" i="3"/>
  <c r="AH165" i="3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H166" i="3" l="1"/>
  <c r="U165" i="3"/>
  <c r="E166" i="3" s="1"/>
  <c r="H166" i="3" s="1"/>
  <c r="AG166" i="3"/>
  <c r="Y164" i="3"/>
  <c r="D166" i="3" l="1"/>
  <c r="G166" i="3" s="1"/>
  <c r="K166" i="3"/>
  <c r="F166" i="3" l="1"/>
  <c r="I166" i="3"/>
  <c r="J166" i="3"/>
  <c r="M166" i="3"/>
  <c r="N166" i="3" s="1"/>
  <c r="V166" i="3"/>
  <c r="AE166" i="3"/>
  <c r="W166" i="3" l="1"/>
  <c r="L166" i="3"/>
  <c r="AH167" i="3" l="1"/>
  <c r="AG167" i="3"/>
  <c r="U166" i="3"/>
  <c r="E167" i="3" s="1"/>
  <c r="H167" i="3" s="1"/>
  <c r="Y165" i="3"/>
  <c r="K167" i="3" l="1"/>
  <c r="D167" i="3"/>
  <c r="V167" i="3" l="1"/>
  <c r="AE167" i="3"/>
  <c r="F167" i="3"/>
  <c r="G167" i="3"/>
  <c r="I167" i="3" l="1"/>
  <c r="W167" i="3" s="1"/>
  <c r="J167" i="3"/>
  <c r="M167" i="3"/>
  <c r="N167" i="3" s="1"/>
  <c r="L167" i="3" l="1"/>
  <c r="AH168" i="3" l="1"/>
  <c r="U167" i="3"/>
  <c r="E168" i="3" s="1"/>
  <c r="H168" i="3" s="1"/>
  <c r="AG168" i="3"/>
  <c r="Y166" i="3"/>
  <c r="D168" i="3" l="1"/>
  <c r="F168" i="3" s="1"/>
  <c r="K168" i="3"/>
  <c r="G168" i="3" l="1"/>
  <c r="I168" i="3" s="1"/>
  <c r="V168" i="3"/>
  <c r="AE168" i="3"/>
  <c r="M168" i="3" l="1"/>
  <c r="N168" i="3" s="1"/>
  <c r="J168" i="3"/>
  <c r="L168" i="3" s="1"/>
  <c r="W168" i="3"/>
  <c r="U168" i="3" l="1"/>
  <c r="E169" i="3" s="1"/>
  <c r="H169" i="3" s="1"/>
  <c r="AH169" i="3"/>
  <c r="AG169" i="3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H170" i="3" l="1"/>
  <c r="U169" i="3"/>
  <c r="E170" i="3" s="1"/>
  <c r="H170" i="3" s="1"/>
  <c r="AG170" i="3"/>
  <c r="Y168" i="3"/>
  <c r="D170" i="3" l="1"/>
  <c r="G170" i="3" s="1"/>
  <c r="K170" i="3"/>
  <c r="F170" i="3" l="1"/>
  <c r="I170" i="3"/>
  <c r="J170" i="3"/>
  <c r="M170" i="3"/>
  <c r="N170" i="3" s="1"/>
  <c r="V170" i="3"/>
  <c r="AE170" i="3"/>
  <c r="W170" i="3" l="1"/>
  <c r="L170" i="3"/>
  <c r="AG171" i="3" l="1"/>
  <c r="U170" i="3"/>
  <c r="E171" i="3" s="1"/>
  <c r="H171" i="3" s="1"/>
  <c r="AH171" i="3"/>
  <c r="Y169" i="3"/>
  <c r="K171" i="3" l="1"/>
  <c r="D171" i="3"/>
  <c r="F171" i="3" l="1"/>
  <c r="G171" i="3"/>
  <c r="V171" i="3"/>
  <c r="AE171" i="3"/>
  <c r="I171" i="3" l="1"/>
  <c r="W171" i="3" s="1"/>
  <c r="J171" i="3"/>
  <c r="M171" i="3"/>
  <c r="N171" i="3" s="1"/>
  <c r="L171" i="3" l="1"/>
  <c r="U171" i="3" l="1"/>
  <c r="E172" i="3" s="1"/>
  <c r="H172" i="3" s="1"/>
  <c r="AH172" i="3"/>
  <c r="AG172" i="3"/>
  <c r="Y170" i="3"/>
  <c r="K172" i="3" l="1"/>
  <c r="D172" i="3"/>
  <c r="V172" i="3" l="1"/>
  <c r="AE172" i="3"/>
  <c r="F172" i="3"/>
  <c r="G172" i="3"/>
  <c r="I172" i="3" l="1"/>
  <c r="W172" i="3" s="1"/>
  <c r="J172" i="3"/>
  <c r="M172" i="3"/>
  <c r="N172" i="3" s="1"/>
  <c r="L172" i="3" l="1"/>
  <c r="U172" i="3" l="1"/>
  <c r="E173" i="3" s="1"/>
  <c r="H173" i="3" s="1"/>
  <c r="AH173" i="3"/>
  <c r="AG173" i="3"/>
  <c r="Y171" i="3"/>
  <c r="D173" i="3" l="1"/>
  <c r="G173" i="3" s="1"/>
  <c r="K173" i="3"/>
  <c r="F173" i="3" l="1"/>
  <c r="I173" i="3"/>
  <c r="J173" i="3"/>
  <c r="M173" i="3"/>
  <c r="N173" i="3" s="1"/>
  <c r="V173" i="3"/>
  <c r="AE173" i="3"/>
  <c r="L173" i="3" l="1"/>
  <c r="W173" i="3"/>
  <c r="U173" i="3" l="1"/>
  <c r="E174" i="3" s="1"/>
  <c r="H174" i="3" s="1"/>
  <c r="AG174" i="3"/>
  <c r="AH174" i="3"/>
  <c r="Y172" i="3"/>
  <c r="D174" i="3" l="1"/>
  <c r="G174" i="3" s="1"/>
  <c r="K174" i="3"/>
  <c r="F174" i="3" l="1"/>
  <c r="V174" i="3"/>
  <c r="AE174" i="3"/>
  <c r="I174" i="3"/>
  <c r="J174" i="3"/>
  <c r="AD174" i="3" s="1"/>
  <c r="M174" i="3"/>
  <c r="N174" i="3" s="1"/>
  <c r="W174" i="3" l="1"/>
  <c r="L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E176" i="3" s="1"/>
  <c r="H176" i="3" s="1"/>
  <c r="AG176" i="3"/>
  <c r="AH176" i="3"/>
  <c r="Y174" i="3"/>
  <c r="D176" i="3" l="1"/>
  <c r="G176" i="3" s="1"/>
  <c r="K176" i="3"/>
  <c r="F176" i="3" l="1"/>
  <c r="I176" i="3"/>
  <c r="J176" i="3"/>
  <c r="M176" i="3"/>
  <c r="N176" i="3" s="1"/>
  <c r="V176" i="3"/>
  <c r="AE176" i="3"/>
  <c r="W176" i="3" l="1"/>
  <c r="L176" i="3"/>
  <c r="AH177" i="3" l="1"/>
  <c r="U176" i="3"/>
  <c r="D177" i="3" s="1"/>
  <c r="AG177" i="3"/>
  <c r="Y175" i="3"/>
  <c r="G177" i="3" l="1"/>
  <c r="E177" i="3"/>
  <c r="H177" i="3" s="1"/>
  <c r="F177" i="3" l="1"/>
  <c r="I177" i="3"/>
  <c r="J177" i="3"/>
  <c r="M177" i="3"/>
  <c r="N177" i="3" s="1"/>
  <c r="K177" i="3"/>
  <c r="V177" i="3" l="1"/>
  <c r="W177" i="3" s="1"/>
  <c r="AE177" i="3"/>
  <c r="L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E179" i="3" s="1"/>
  <c r="H179" i="3" s="1"/>
  <c r="AG179" i="3"/>
  <c r="AH179" i="3"/>
  <c r="Y177" i="3"/>
  <c r="D179" i="3" l="1"/>
  <c r="G179" i="3" s="1"/>
  <c r="K179" i="3"/>
  <c r="F179" i="3" l="1"/>
  <c r="V179" i="3"/>
  <c r="AE179" i="3"/>
  <c r="I179" i="3"/>
  <c r="J179" i="3"/>
  <c r="M179" i="3"/>
  <c r="N179" i="3" s="1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I180" i="3"/>
  <c r="J180" i="3"/>
  <c r="M180" i="3"/>
  <c r="N180" i="3" s="1"/>
  <c r="V180" i="3"/>
  <c r="AE180" i="3"/>
  <c r="L180" i="3" l="1"/>
  <c r="W180" i="3"/>
  <c r="U180" i="3" l="1"/>
  <c r="E181" i="3" s="1"/>
  <c r="H181" i="3" s="1"/>
  <c r="AH181" i="3"/>
  <c r="AG181" i="3"/>
  <c r="Y179" i="3"/>
  <c r="D181" i="3" l="1"/>
  <c r="G181" i="3" s="1"/>
  <c r="K181" i="3"/>
  <c r="F181" i="3" l="1"/>
  <c r="I181" i="3"/>
  <c r="J181" i="3"/>
  <c r="M181" i="3"/>
  <c r="N181" i="3" s="1"/>
  <c r="V181" i="3"/>
  <c r="AE181" i="3"/>
  <c r="W181" i="3" l="1"/>
  <c r="L181" i="3"/>
  <c r="AH182" i="3" l="1"/>
  <c r="U181" i="3"/>
  <c r="E182" i="3" s="1"/>
  <c r="H182" i="3" s="1"/>
  <c r="AG182" i="3"/>
  <c r="Y180" i="3"/>
  <c r="K182" i="3" l="1"/>
  <c r="D182" i="3"/>
  <c r="V182" i="3" l="1"/>
  <c r="AE182" i="3"/>
  <c r="F182" i="3"/>
  <c r="G182" i="3"/>
  <c r="I182" i="3" l="1"/>
  <c r="W182" i="3" s="1"/>
  <c r="J182" i="3"/>
  <c r="M182" i="3"/>
  <c r="N182" i="3" s="1"/>
  <c r="L182" i="3" l="1"/>
  <c r="U182" i="3" l="1"/>
  <c r="E183" i="3" s="1"/>
  <c r="H183" i="3" s="1"/>
  <c r="AH183" i="3"/>
  <c r="AG183" i="3"/>
  <c r="Y181" i="3"/>
  <c r="D183" i="3" l="1"/>
  <c r="G183" i="3" s="1"/>
  <c r="K183" i="3"/>
  <c r="F183" i="3" l="1"/>
  <c r="I183" i="3"/>
  <c r="J183" i="3"/>
  <c r="M183" i="3"/>
  <c r="N183" i="3" s="1"/>
  <c r="V183" i="3"/>
  <c r="AE183" i="3"/>
  <c r="W183" i="3" l="1"/>
  <c r="L183" i="3"/>
  <c r="U183" i="3" l="1"/>
  <c r="D184" i="3" s="1"/>
  <c r="AG184" i="3"/>
  <c r="AH184" i="3"/>
  <c r="Y182" i="3"/>
  <c r="G184" i="3" l="1"/>
  <c r="E184" i="3"/>
  <c r="H184" i="3" s="1"/>
  <c r="K184" i="3" l="1"/>
  <c r="I184" i="3"/>
  <c r="J184" i="3"/>
  <c r="M184" i="3"/>
  <c r="N184" i="3" s="1"/>
  <c r="F184" i="3"/>
  <c r="V184" i="3" l="1"/>
  <c r="W184" i="3" s="1"/>
  <c r="AE184" i="3"/>
  <c r="L184" i="3"/>
  <c r="AH185" i="3" l="1"/>
  <c r="AG185" i="3"/>
  <c r="U184" i="3"/>
  <c r="D185" i="3" s="1"/>
  <c r="Y183" i="3"/>
  <c r="E185" i="3" l="1"/>
  <c r="H185" i="3" s="1"/>
  <c r="K185" i="3" s="1"/>
  <c r="G185" i="3"/>
  <c r="F185" i="3" l="1"/>
  <c r="I185" i="3"/>
  <c r="J185" i="3"/>
  <c r="M185" i="3"/>
  <c r="N185" i="3" s="1"/>
  <c r="V185" i="3"/>
  <c r="AE185" i="3"/>
  <c r="W185" i="3" l="1"/>
  <c r="L185" i="3"/>
  <c r="U185" i="3" l="1"/>
  <c r="E186" i="3" s="1"/>
  <c r="H186" i="3" s="1"/>
  <c r="AH186" i="3"/>
  <c r="AG186" i="3"/>
  <c r="Y184" i="3"/>
  <c r="D186" i="3" l="1"/>
  <c r="G186" i="3" s="1"/>
  <c r="K186" i="3"/>
  <c r="F186" i="3" l="1"/>
  <c r="V186" i="3"/>
  <c r="AE186" i="3"/>
  <c r="I186" i="3"/>
  <c r="J186" i="3"/>
  <c r="M186" i="3"/>
  <c r="N186" i="3" s="1"/>
  <c r="L186" i="3" l="1"/>
  <c r="W186" i="3"/>
  <c r="AG187" i="3" l="1"/>
  <c r="AH187" i="3"/>
  <c r="U186" i="3"/>
  <c r="D187" i="3" s="1"/>
  <c r="Y185" i="3"/>
  <c r="G187" i="3" l="1"/>
  <c r="E187" i="3"/>
  <c r="H187" i="3" s="1"/>
  <c r="I187" i="3" l="1"/>
  <c r="J187" i="3"/>
  <c r="M187" i="3"/>
  <c r="N187" i="3" s="1"/>
  <c r="F187" i="3"/>
  <c r="K187" i="3"/>
  <c r="L187" i="3" l="1"/>
  <c r="V187" i="3"/>
  <c r="W187" i="3" s="1"/>
  <c r="AE187" i="3"/>
  <c r="AG188" i="3" l="1"/>
  <c r="U187" i="3"/>
  <c r="E188" i="3" s="1"/>
  <c r="H188" i="3" s="1"/>
  <c r="AH188" i="3"/>
  <c r="Y186" i="3"/>
  <c r="D188" i="3" l="1"/>
  <c r="G188" i="3" s="1"/>
  <c r="K188" i="3"/>
  <c r="F188" i="3" l="1"/>
  <c r="I188" i="3"/>
  <c r="J188" i="3"/>
  <c r="M188" i="3"/>
  <c r="N188" i="3" s="1"/>
  <c r="V188" i="3"/>
  <c r="AE188" i="3"/>
  <c r="W188" i="3" l="1"/>
  <c r="L188" i="3"/>
  <c r="U188" i="3" l="1"/>
  <c r="E189" i="3" s="1"/>
  <c r="H189" i="3" s="1"/>
  <c r="AH189" i="3"/>
  <c r="AG189" i="3"/>
  <c r="Y187" i="3"/>
  <c r="D189" i="3" l="1"/>
  <c r="G189" i="3" s="1"/>
  <c r="K189" i="3"/>
  <c r="F189" i="3" l="1"/>
  <c r="I189" i="3"/>
  <c r="J189" i="3"/>
  <c r="M189" i="3"/>
  <c r="N189" i="3" s="1"/>
  <c r="V189" i="3"/>
  <c r="AE189" i="3"/>
  <c r="W189" i="3" l="1"/>
  <c r="L189" i="3"/>
  <c r="AH190" i="3" l="1"/>
  <c r="U189" i="3"/>
  <c r="D190" i="3" s="1"/>
  <c r="AG190" i="3"/>
  <c r="Y188" i="3"/>
  <c r="G190" i="3" l="1"/>
  <c r="E190" i="3"/>
  <c r="H190" i="3" s="1"/>
  <c r="K190" i="3" l="1"/>
  <c r="I190" i="3"/>
  <c r="J190" i="3"/>
  <c r="M190" i="3"/>
  <c r="N190" i="3" s="1"/>
  <c r="F190" i="3"/>
  <c r="L190" i="3" l="1"/>
  <c r="V190" i="3"/>
  <c r="W190" i="3" s="1"/>
  <c r="AE190" i="3"/>
  <c r="AG191" i="3" l="1"/>
  <c r="U190" i="3"/>
  <c r="E191" i="3" s="1"/>
  <c r="H191" i="3" s="1"/>
  <c r="AH191" i="3"/>
  <c r="Y189" i="3"/>
  <c r="K191" i="3" l="1"/>
  <c r="D191" i="3"/>
  <c r="V191" i="3" l="1"/>
  <c r="AE191" i="3"/>
  <c r="F191" i="3"/>
  <c r="G191" i="3"/>
  <c r="I191" i="3" l="1"/>
  <c r="W191" i="3" s="1"/>
  <c r="J191" i="3"/>
  <c r="M191" i="3"/>
  <c r="N191" i="3" s="1"/>
  <c r="L191" i="3" l="1"/>
  <c r="AG192" i="3" l="1"/>
  <c r="U191" i="3"/>
  <c r="E192" i="3" s="1"/>
  <c r="H192" i="3" s="1"/>
  <c r="AH192" i="3"/>
  <c r="Y190" i="3"/>
  <c r="D192" i="3" l="1"/>
  <c r="G192" i="3" s="1"/>
  <c r="K192" i="3"/>
  <c r="F192" i="3" l="1"/>
  <c r="I192" i="3"/>
  <c r="J192" i="3"/>
  <c r="M192" i="3"/>
  <c r="N192" i="3" s="1"/>
  <c r="V192" i="3"/>
  <c r="AE192" i="3"/>
  <c r="W192" i="3" l="1"/>
  <c r="L192" i="3"/>
  <c r="U192" i="3" l="1"/>
  <c r="D193" i="3" s="1"/>
  <c r="AG193" i="3"/>
  <c r="AH193" i="3"/>
  <c r="Y191" i="3"/>
  <c r="G193" i="3" l="1"/>
  <c r="E193" i="3"/>
  <c r="H193" i="3" s="1"/>
  <c r="K193" i="3" l="1"/>
  <c r="I193" i="3"/>
  <c r="J193" i="3"/>
  <c r="M193" i="3"/>
  <c r="N193" i="3" s="1"/>
  <c r="F193" i="3"/>
  <c r="L193" i="3" l="1"/>
  <c r="V193" i="3"/>
  <c r="W193" i="3" s="1"/>
  <c r="AE193" i="3"/>
  <c r="AH194" i="3" l="1"/>
  <c r="AG194" i="3"/>
  <c r="U193" i="3"/>
  <c r="D194" i="3" s="1"/>
  <c r="Y192" i="3"/>
  <c r="E194" i="3" l="1"/>
  <c r="H194" i="3" s="1"/>
  <c r="K194" i="3" s="1"/>
  <c r="G194" i="3"/>
  <c r="F194" i="3" l="1"/>
  <c r="V194" i="3"/>
  <c r="AE194" i="3"/>
  <c r="I194" i="3"/>
  <c r="J194" i="3"/>
  <c r="M194" i="3"/>
  <c r="N194" i="3" s="1"/>
  <c r="W194" i="3" l="1"/>
  <c r="L194" i="3"/>
  <c r="U194" i="3" l="1"/>
  <c r="D195" i="3" s="1"/>
  <c r="AH195" i="3"/>
  <c r="AG195" i="3"/>
  <c r="Y193" i="3"/>
  <c r="E195" i="3" l="1"/>
  <c r="H195" i="3" s="1"/>
  <c r="K195" i="3" s="1"/>
  <c r="G195" i="3"/>
  <c r="F195" i="3" l="1"/>
  <c r="V195" i="3"/>
  <c r="AE195" i="3"/>
  <c r="I195" i="3"/>
  <c r="J195" i="3"/>
  <c r="M195" i="3"/>
  <c r="N195" i="3" s="1"/>
  <c r="W195" i="3" l="1"/>
  <c r="L195" i="3"/>
  <c r="AH196" i="3" l="1"/>
  <c r="U195" i="3"/>
  <c r="D196" i="3" s="1"/>
  <c r="AG196" i="3"/>
  <c r="Y194" i="3"/>
  <c r="E196" i="3" l="1"/>
  <c r="H196" i="3" s="1"/>
  <c r="K196" i="3" s="1"/>
  <c r="G196" i="3"/>
  <c r="F196" i="3" l="1"/>
  <c r="I196" i="3"/>
  <c r="J196" i="3"/>
  <c r="M196" i="3"/>
  <c r="N196" i="3" s="1"/>
  <c r="V196" i="3"/>
  <c r="AE196" i="3"/>
  <c r="L196" i="3" l="1"/>
  <c r="W196" i="3"/>
  <c r="U196" i="3" l="1"/>
  <c r="E197" i="3" s="1"/>
  <c r="H197" i="3" s="1"/>
  <c r="AG197" i="3"/>
  <c r="AH197" i="3"/>
  <c r="Y195" i="3"/>
  <c r="D197" i="3" l="1"/>
  <c r="G197" i="3" s="1"/>
  <c r="K197" i="3"/>
  <c r="F197" i="3" l="1"/>
  <c r="I197" i="3"/>
  <c r="J197" i="3"/>
  <c r="M197" i="3"/>
  <c r="N197" i="3" s="1"/>
  <c r="V197" i="3"/>
  <c r="AE197" i="3"/>
  <c r="W197" i="3" l="1"/>
  <c r="L197" i="3"/>
  <c r="AG198" i="3" l="1"/>
  <c r="AH198" i="3"/>
  <c r="U197" i="3"/>
  <c r="E198" i="3" s="1"/>
  <c r="H198" i="3" s="1"/>
  <c r="Y196" i="3"/>
  <c r="K198" i="3" l="1"/>
  <c r="D198" i="3"/>
  <c r="V198" i="3" l="1"/>
  <c r="AE198" i="3"/>
  <c r="F198" i="3"/>
  <c r="G198" i="3"/>
  <c r="I198" i="3" l="1"/>
  <c r="W198" i="3" s="1"/>
  <c r="J198" i="3"/>
  <c r="M198" i="3"/>
  <c r="N198" i="3" s="1"/>
  <c r="L198" i="3" l="1"/>
  <c r="AG199" i="3" l="1"/>
  <c r="U198" i="3"/>
  <c r="E199" i="3" s="1"/>
  <c r="H199" i="3" s="1"/>
  <c r="AH199" i="3"/>
  <c r="Y197" i="3"/>
  <c r="K199" i="3" l="1"/>
  <c r="D199" i="3"/>
  <c r="V199" i="3" l="1"/>
  <c r="AE199" i="3"/>
  <c r="F199" i="3"/>
  <c r="G199" i="3"/>
  <c r="I199" i="3" l="1"/>
  <c r="W199" i="3" s="1"/>
  <c r="J199" i="3"/>
  <c r="M199" i="3"/>
  <c r="N199" i="3" s="1"/>
  <c r="L199" i="3" l="1"/>
  <c r="AH200" i="3" l="1"/>
  <c r="AG200" i="3"/>
  <c r="U199" i="3"/>
  <c r="E200" i="3" s="1"/>
  <c r="H200" i="3" s="1"/>
  <c r="Y198" i="3"/>
  <c r="K200" i="3" l="1"/>
  <c r="D200" i="3"/>
  <c r="V200" i="3" l="1"/>
  <c r="AE200" i="3"/>
  <c r="F200" i="3"/>
  <c r="G200" i="3"/>
  <c r="I200" i="3" l="1"/>
  <c r="W200" i="3" s="1"/>
  <c r="J200" i="3"/>
  <c r="M200" i="3"/>
  <c r="N200" i="3" s="1"/>
  <c r="L200" i="3" l="1"/>
  <c r="AG201" i="3" l="1"/>
  <c r="U200" i="3"/>
  <c r="E201" i="3" s="1"/>
  <c r="H201" i="3" s="1"/>
  <c r="AH201" i="3"/>
  <c r="Y199" i="3"/>
  <c r="D201" i="3" l="1"/>
  <c r="G201" i="3" s="1"/>
  <c r="K201" i="3"/>
  <c r="F201" i="3" l="1"/>
  <c r="I201" i="3"/>
  <c r="J201" i="3"/>
  <c r="M201" i="3"/>
  <c r="N201" i="3" s="1"/>
  <c r="V201" i="3"/>
  <c r="AE201" i="3"/>
  <c r="W201" i="3" l="1"/>
  <c r="L201" i="3"/>
  <c r="U201" i="3" l="1"/>
  <c r="E202" i="3" s="1"/>
  <c r="H202" i="3" s="1"/>
  <c r="AG202" i="3"/>
  <c r="AH202" i="3"/>
  <c r="Y200" i="3"/>
  <c r="D202" i="3" l="1"/>
  <c r="G202" i="3" s="1"/>
  <c r="K202" i="3"/>
  <c r="F202" i="3" l="1"/>
  <c r="V202" i="3"/>
  <c r="AE202" i="3"/>
  <c r="I202" i="3"/>
  <c r="J202" i="3"/>
  <c r="M202" i="3"/>
  <c r="N202" i="3" s="1"/>
  <c r="W202" i="3" l="1"/>
  <c r="L202" i="3"/>
  <c r="U202" i="3" l="1"/>
  <c r="E203" i="3" s="1"/>
  <c r="H203" i="3" s="1"/>
  <c r="AH203" i="3"/>
  <c r="AG203" i="3"/>
  <c r="Y201" i="3"/>
  <c r="D203" i="3" l="1"/>
  <c r="G203" i="3" s="1"/>
  <c r="K203" i="3"/>
  <c r="A204" i="3" s="1"/>
  <c r="B204" i="3" s="1"/>
  <c r="Z204" i="3" l="1"/>
  <c r="P204" i="3"/>
  <c r="Q204" i="3" s="1"/>
  <c r="R204" i="3" s="1"/>
  <c r="S204" i="3" s="1"/>
  <c r="T204" i="3" s="1"/>
  <c r="AA204" i="3"/>
  <c r="AC204" i="3"/>
  <c r="F203" i="3"/>
  <c r="I203" i="3"/>
  <c r="J203" i="3"/>
  <c r="M203" i="3"/>
  <c r="N203" i="3" s="1"/>
  <c r="V203" i="3"/>
  <c r="AE203" i="3"/>
  <c r="W203" i="3" l="1"/>
  <c r="L203" i="3"/>
  <c r="U203" i="3" l="1"/>
  <c r="E204" i="3" s="1"/>
  <c r="H204" i="3" s="1"/>
  <c r="AH204" i="3"/>
  <c r="AG204" i="3"/>
  <c r="Y202" i="3"/>
  <c r="D204" i="3" l="1"/>
  <c r="G204" i="3" s="1"/>
  <c r="K204" i="3"/>
  <c r="F204" i="3" l="1"/>
  <c r="I204" i="3"/>
  <c r="J204" i="3"/>
  <c r="M204" i="3"/>
  <c r="N204" i="3" s="1"/>
  <c r="V204" i="3"/>
  <c r="A205" i="3"/>
  <c r="B205" i="3" s="1"/>
  <c r="AE204" i="3"/>
  <c r="W204" i="3" l="1"/>
  <c r="L204" i="3"/>
  <c r="AD204" i="3"/>
  <c r="AC205" i="3"/>
  <c r="P205" i="3"/>
  <c r="Q205" i="3" s="1"/>
  <c r="R205" i="3" s="1"/>
  <c r="S205" i="3" s="1"/>
  <c r="Z205" i="3"/>
  <c r="AA205" i="3"/>
  <c r="AD205" i="3"/>
  <c r="U204" i="3" l="1"/>
  <c r="Y203" i="3"/>
  <c r="T205" i="3"/>
  <c r="AH205" i="3" s="1"/>
  <c r="E205" i="3" l="1"/>
  <c r="H205" i="3" s="1"/>
  <c r="D205" i="3"/>
  <c r="AG205" i="3"/>
  <c r="K205" i="3" l="1"/>
  <c r="F205" i="3"/>
  <c r="G205" i="3"/>
  <c r="V205" i="3" l="1"/>
  <c r="A206" i="3"/>
  <c r="B206" i="3" s="1"/>
  <c r="AE205" i="3"/>
  <c r="I205" i="3"/>
  <c r="J205" i="3"/>
  <c r="M205" i="3"/>
  <c r="N205" i="3" s="1"/>
  <c r="W205" i="3" l="1"/>
  <c r="L205" i="3"/>
  <c r="AC206" i="3"/>
  <c r="P206" i="3"/>
  <c r="Q206" i="3" s="1"/>
  <c r="R206" i="3" s="1"/>
  <c r="S206" i="3" s="1"/>
  <c r="Z206" i="3"/>
  <c r="AA206" i="3"/>
  <c r="AD206" i="3"/>
  <c r="T206" i="3" l="1"/>
  <c r="AH206" i="3" s="1"/>
  <c r="U205" i="3"/>
  <c r="Y204" i="3"/>
  <c r="AG206" i="3" l="1"/>
  <c r="D206" i="3"/>
  <c r="E206" i="3"/>
  <c r="H206" i="3" s="1"/>
  <c r="F206" i="3" l="1"/>
  <c r="G206" i="3"/>
  <c r="K206" i="3"/>
  <c r="I206" i="3" l="1"/>
  <c r="J206" i="3"/>
  <c r="M206" i="3"/>
  <c r="N206" i="3" s="1"/>
  <c r="V206" i="3"/>
  <c r="A207" i="3"/>
  <c r="B207" i="3" s="1"/>
  <c r="AE206" i="3"/>
  <c r="W206" i="3" l="1"/>
  <c r="L206" i="3"/>
  <c r="P207" i="3"/>
  <c r="Q207" i="3" s="1"/>
  <c r="R207" i="3" s="1"/>
  <c r="S207" i="3" s="1"/>
  <c r="AC207" i="3"/>
  <c r="Z207" i="3"/>
  <c r="AA207" i="3"/>
  <c r="T207" i="3" l="1"/>
  <c r="U206" i="3"/>
  <c r="Y205" i="3"/>
  <c r="D207" i="3" l="1"/>
  <c r="G207" i="3" s="1"/>
  <c r="AH207" i="3"/>
  <c r="E207" i="3"/>
  <c r="H207" i="3" s="1"/>
  <c r="AG207" i="3"/>
  <c r="F207" i="3" l="1"/>
  <c r="I207" i="3"/>
  <c r="J207" i="3"/>
  <c r="AD207" i="3" s="1"/>
  <c r="M207" i="3"/>
  <c r="N207" i="3" s="1"/>
  <c r="K207" i="3"/>
  <c r="V207" i="3" l="1"/>
  <c r="W207" i="3" s="1"/>
  <c r="AE207" i="3"/>
  <c r="A208" i="3"/>
  <c r="B208" i="3" s="1"/>
  <c r="L207" i="3"/>
  <c r="Z208" i="3" l="1"/>
  <c r="AC208" i="3"/>
  <c r="AA208" i="3"/>
  <c r="P208" i="3"/>
  <c r="Q208" i="3" s="1"/>
  <c r="R208" i="3" s="1"/>
  <c r="S208" i="3" s="1"/>
  <c r="U207" i="3"/>
  <c r="Y206" i="3"/>
  <c r="T208" i="3" l="1"/>
  <c r="AG208" i="3" s="1"/>
  <c r="AH208" i="3" l="1"/>
  <c r="D208" i="3"/>
  <c r="G208" i="3" s="1"/>
  <c r="E208" i="3"/>
  <c r="H208" i="3" s="1"/>
  <c r="K208" i="3" s="1"/>
  <c r="F208" i="3" l="1"/>
  <c r="I208" i="3"/>
  <c r="J208" i="3"/>
  <c r="AD208" i="3" s="1"/>
  <c r="M208" i="3"/>
  <c r="N208" i="3" s="1"/>
  <c r="V208" i="3"/>
  <c r="A209" i="3"/>
  <c r="B209" i="3" s="1"/>
  <c r="AE208" i="3"/>
  <c r="W208" i="3" l="1"/>
  <c r="L208" i="3"/>
  <c r="P209" i="3"/>
  <c r="Q209" i="3" s="1"/>
  <c r="R209" i="3" s="1"/>
  <c r="S209" i="3" s="1"/>
  <c r="AC209" i="3"/>
  <c r="AD209" i="3"/>
  <c r="AA209" i="3"/>
  <c r="Z209" i="3"/>
  <c r="U208" i="3" l="1"/>
  <c r="Y207" i="3"/>
  <c r="T209" i="3"/>
  <c r="AH209" i="3" s="1"/>
  <c r="AG209" i="3" l="1"/>
  <c r="D209" i="3"/>
  <c r="G209" i="3" s="1"/>
  <c r="E209" i="3"/>
  <c r="H209" i="3" s="1"/>
  <c r="F209" i="3" l="1"/>
  <c r="K209" i="3"/>
  <c r="I209" i="3"/>
  <c r="J209" i="3"/>
  <c r="M209" i="3"/>
  <c r="N209" i="3" s="1"/>
  <c r="L209" i="3" l="1"/>
  <c r="V209" i="3"/>
  <c r="W209" i="3" s="1"/>
  <c r="A210" i="3"/>
  <c r="B210" i="3" s="1"/>
  <c r="AE209" i="3"/>
  <c r="AC210" i="3" l="1"/>
  <c r="Z210" i="3"/>
  <c r="P210" i="3"/>
  <c r="Q210" i="3" s="1"/>
  <c r="R210" i="3" s="1"/>
  <c r="S210" i="3" s="1"/>
  <c r="AA210" i="3"/>
  <c r="AD210" i="3"/>
  <c r="U209" i="3"/>
  <c r="Y208" i="3"/>
  <c r="T210" i="3" l="1"/>
  <c r="AG210" i="3" s="1"/>
  <c r="AH210" i="3" l="1"/>
  <c r="D210" i="3"/>
  <c r="E210" i="3"/>
  <c r="H210" i="3" s="1"/>
  <c r="F210" i="3" l="1"/>
  <c r="G210" i="3"/>
  <c r="K210" i="3"/>
  <c r="V210" i="3" l="1"/>
  <c r="AE210" i="3"/>
  <c r="A211" i="3"/>
  <c r="B211" i="3" s="1"/>
  <c r="I210" i="3"/>
  <c r="J210" i="3"/>
  <c r="M210" i="3"/>
  <c r="N210" i="3" s="1"/>
  <c r="W210" i="3" l="1"/>
  <c r="AC211" i="3"/>
  <c r="Z211" i="3"/>
  <c r="P211" i="3"/>
  <c r="Q211" i="3" s="1"/>
  <c r="R211" i="3" s="1"/>
  <c r="S211" i="3" s="1"/>
  <c r="AA211" i="3"/>
  <c r="L210" i="3"/>
  <c r="T211" i="3" l="1"/>
  <c r="AG211" i="3" s="1"/>
  <c r="U210" i="3"/>
  <c r="Y209" i="3"/>
  <c r="E211" i="3" l="1"/>
  <c r="H211" i="3" s="1"/>
  <c r="D211" i="3"/>
  <c r="AH211" i="3"/>
  <c r="K211" i="3" l="1"/>
  <c r="F211" i="3"/>
  <c r="G211" i="3"/>
  <c r="I211" i="3" l="1"/>
  <c r="J211" i="3"/>
  <c r="AD211" i="3" s="1"/>
  <c r="M211" i="3"/>
  <c r="N211" i="3" s="1"/>
  <c r="V211" i="3"/>
  <c r="AE211" i="3"/>
  <c r="A212" i="3"/>
  <c r="B212" i="3" s="1"/>
  <c r="W211" i="3" l="1"/>
  <c r="AA212" i="3"/>
  <c r="Z212" i="3"/>
  <c r="P212" i="3"/>
  <c r="Q212" i="3" s="1"/>
  <c r="R212" i="3" s="1"/>
  <c r="S212" i="3" s="1"/>
  <c r="AC212" i="3"/>
  <c r="AD212" i="3"/>
  <c r="L211" i="3"/>
  <c r="U211" i="3" l="1"/>
  <c r="Y210" i="3"/>
  <c r="T212" i="3"/>
  <c r="E212" i="3" l="1"/>
  <c r="H212" i="3" s="1"/>
  <c r="K212" i="3" s="1"/>
  <c r="AH212" i="3"/>
  <c r="AG212" i="3"/>
  <c r="D212" i="3"/>
  <c r="F212" i="3" l="1"/>
  <c r="G212" i="3"/>
  <c r="V212" i="3"/>
  <c r="A213" i="3"/>
  <c r="B213" i="3" s="1"/>
  <c r="AE212" i="3"/>
  <c r="AD213" i="3" l="1"/>
  <c r="AC213" i="3"/>
  <c r="P213" i="3"/>
  <c r="Q213" i="3" s="1"/>
  <c r="R213" i="3" s="1"/>
  <c r="S213" i="3" s="1"/>
  <c r="AA213" i="3"/>
  <c r="Z213" i="3"/>
  <c r="I212" i="3"/>
  <c r="W212" i="3" s="1"/>
  <c r="J212" i="3"/>
  <c r="M212" i="3"/>
  <c r="N212" i="3" s="1"/>
  <c r="T213" i="3" l="1"/>
  <c r="L212" i="3"/>
  <c r="U212" i="3" l="1"/>
  <c r="E213" i="3" s="1"/>
  <c r="H213" i="3" s="1"/>
  <c r="AH213" i="3"/>
  <c r="AG213" i="3"/>
  <c r="Y211" i="3"/>
  <c r="D213" i="3" l="1"/>
  <c r="G213" i="3" s="1"/>
  <c r="K213" i="3"/>
  <c r="F213" i="3" l="1"/>
  <c r="I213" i="3"/>
  <c r="J213" i="3"/>
  <c r="M213" i="3"/>
  <c r="N213" i="3" s="1"/>
  <c r="V213" i="3"/>
  <c r="A214" i="3"/>
  <c r="B214" i="3" s="1"/>
  <c r="AE213" i="3"/>
  <c r="W213" i="3" l="1"/>
  <c r="L213" i="3"/>
  <c r="P214" i="3"/>
  <c r="Q214" i="3" s="1"/>
  <c r="R214" i="3" s="1"/>
  <c r="S214" i="3" s="1"/>
  <c r="AC214" i="3"/>
  <c r="AA214" i="3"/>
  <c r="Z214" i="3"/>
  <c r="U213" i="3" l="1"/>
  <c r="Y212" i="3"/>
  <c r="T214" i="3"/>
  <c r="D214" i="3" l="1"/>
  <c r="G214" i="3" s="1"/>
  <c r="E214" i="3"/>
  <c r="H214" i="3" s="1"/>
  <c r="AG214" i="3"/>
  <c r="AH214" i="3"/>
  <c r="F214" i="3" l="1"/>
  <c r="I214" i="3"/>
  <c r="J214" i="3"/>
  <c r="M214" i="3"/>
  <c r="N214" i="3" s="1"/>
  <c r="K214" i="3"/>
  <c r="AE214" i="3" s="1"/>
  <c r="V214" i="3" l="1"/>
  <c r="W214" i="3" s="1"/>
  <c r="A215" i="3"/>
  <c r="B215" i="3" s="1"/>
  <c r="L214" i="3"/>
  <c r="AD214" i="3"/>
  <c r="U214" i="3" l="1"/>
  <c r="Y213" i="3"/>
  <c r="AC215" i="3"/>
  <c r="AD215" i="3"/>
  <c r="Z215" i="3"/>
  <c r="P215" i="3"/>
  <c r="Q215" i="3" s="1"/>
  <c r="R215" i="3" s="1"/>
  <c r="S215" i="3" s="1"/>
  <c r="AA215" i="3"/>
  <c r="T215" i="3" l="1"/>
  <c r="AH215" i="3" s="1"/>
  <c r="D215" i="3" l="1"/>
  <c r="G215" i="3" s="1"/>
  <c r="E215" i="3"/>
  <c r="H215" i="3" s="1"/>
  <c r="K215" i="3" s="1"/>
  <c r="AE215" i="3" s="1"/>
  <c r="AG215" i="3"/>
  <c r="F215" i="3" l="1"/>
  <c r="V215" i="3"/>
  <c r="A216" i="3"/>
  <c r="B216" i="3" s="1"/>
  <c r="I215" i="3"/>
  <c r="J215" i="3"/>
  <c r="M215" i="3"/>
  <c r="N215" i="3" s="1"/>
  <c r="W215" i="3" l="1"/>
  <c r="L215" i="3"/>
  <c r="P216" i="3"/>
  <c r="Q216" i="3" s="1"/>
  <c r="R216" i="3" s="1"/>
  <c r="S216" i="3" s="1"/>
  <c r="Z216" i="3"/>
  <c r="AC216" i="3"/>
  <c r="AD216" i="3"/>
  <c r="AA216" i="3"/>
  <c r="U215" i="3" l="1"/>
  <c r="Y214" i="3"/>
  <c r="T216" i="3"/>
  <c r="AH216" i="3" s="1"/>
  <c r="D216" i="3" l="1"/>
  <c r="G216" i="3" s="1"/>
  <c r="AG216" i="3"/>
  <c r="E216" i="3"/>
  <c r="H216" i="3" s="1"/>
  <c r="K216" i="3" l="1"/>
  <c r="AE216" i="3" s="1"/>
  <c r="I216" i="3"/>
  <c r="J216" i="3"/>
  <c r="M216" i="3"/>
  <c r="N216" i="3" s="1"/>
  <c r="F216" i="3"/>
  <c r="V216" i="3" l="1"/>
  <c r="W216" i="3" s="1"/>
  <c r="A217" i="3"/>
  <c r="B217" i="3" s="1"/>
  <c r="L216" i="3"/>
  <c r="U216" i="3" l="1"/>
  <c r="Y215" i="3"/>
  <c r="P217" i="3"/>
  <c r="Q217" i="3" s="1"/>
  <c r="R217" i="3" s="1"/>
  <c r="S217" i="3" s="1"/>
  <c r="AC217" i="3"/>
  <c r="AA217" i="3"/>
  <c r="Z217" i="3"/>
  <c r="T217" i="3" l="1"/>
  <c r="D217" i="3" s="1"/>
  <c r="G217" i="3" l="1"/>
  <c r="AG217" i="3"/>
  <c r="AH217" i="3"/>
  <c r="E217" i="3"/>
  <c r="H217" i="3" s="1"/>
  <c r="I217" i="3" l="1"/>
  <c r="J217" i="3"/>
  <c r="AD217" i="3" s="1"/>
  <c r="M217" i="3"/>
  <c r="N217" i="3" s="1"/>
  <c r="K217" i="3"/>
  <c r="AE217" i="3" s="1"/>
  <c r="F217" i="3"/>
  <c r="V217" i="3" l="1"/>
  <c r="W217" i="3" s="1"/>
  <c r="A218" i="3"/>
  <c r="B218" i="3" s="1"/>
  <c r="L217" i="3"/>
  <c r="U217" i="3" l="1"/>
  <c r="Y216" i="3"/>
  <c r="AC218" i="3"/>
  <c r="AA218" i="3"/>
  <c r="Z218" i="3"/>
  <c r="P218" i="3"/>
  <c r="Q218" i="3" s="1"/>
  <c r="R218" i="3" s="1"/>
  <c r="S218" i="3" s="1"/>
  <c r="T218" i="3" l="1"/>
  <c r="AG218" i="3" s="1"/>
  <c r="AH218" i="3" l="1"/>
  <c r="E218" i="3"/>
  <c r="H218" i="3" s="1"/>
  <c r="K218" i="3" s="1"/>
  <c r="AE218" i="3" s="1"/>
  <c r="D218" i="3"/>
  <c r="G218" i="3" s="1"/>
  <c r="F218" i="3" l="1"/>
  <c r="I218" i="3"/>
  <c r="J218" i="3"/>
  <c r="AD218" i="3" s="1"/>
  <c r="M218" i="3"/>
  <c r="N218" i="3" s="1"/>
  <c r="V218" i="3"/>
  <c r="A219" i="3"/>
  <c r="B219" i="3" s="1"/>
  <c r="W218" i="3" l="1"/>
  <c r="L218" i="3"/>
  <c r="P219" i="3"/>
  <c r="Q219" i="3" s="1"/>
  <c r="R219" i="3" s="1"/>
  <c r="S219" i="3" s="1"/>
  <c r="AD219" i="3"/>
  <c r="AC219" i="3"/>
  <c r="AA219" i="3"/>
  <c r="Z219" i="3"/>
  <c r="U218" i="3" l="1"/>
  <c r="Y217" i="3"/>
  <c r="T219" i="3"/>
  <c r="AG219" i="3" s="1"/>
  <c r="D219" i="3" l="1"/>
  <c r="E219" i="3"/>
  <c r="H219" i="3" s="1"/>
  <c r="AH219" i="3"/>
  <c r="F219" i="3" l="1"/>
  <c r="G219" i="3"/>
  <c r="K219" i="3"/>
  <c r="AE219" i="3" s="1"/>
  <c r="I219" i="3" l="1"/>
  <c r="J219" i="3"/>
  <c r="M219" i="3"/>
  <c r="N219" i="3" s="1"/>
  <c r="V219" i="3"/>
  <c r="A220" i="3"/>
  <c r="B220" i="3" s="1"/>
  <c r="W219" i="3" l="1"/>
  <c r="L219" i="3"/>
  <c r="AC220" i="3"/>
  <c r="AD220" i="3"/>
  <c r="Z220" i="3"/>
  <c r="P220" i="3"/>
  <c r="Q220" i="3" s="1"/>
  <c r="R220" i="3" s="1"/>
  <c r="S220" i="3" s="1"/>
  <c r="AA220" i="3"/>
  <c r="U219" i="3" l="1"/>
  <c r="Y218" i="3"/>
  <c r="T220" i="3"/>
  <c r="E220" i="3" l="1"/>
  <c r="H220" i="3" s="1"/>
  <c r="K220" i="3" s="1"/>
  <c r="AE220" i="3" s="1"/>
  <c r="D220" i="3"/>
  <c r="G220" i="3" s="1"/>
  <c r="AG220" i="3"/>
  <c r="AH220" i="3"/>
  <c r="F220" i="3" l="1"/>
  <c r="I220" i="3"/>
  <c r="J220" i="3"/>
  <c r="M220" i="3"/>
  <c r="N220" i="3" s="1"/>
  <c r="V220" i="3"/>
  <c r="A221" i="3"/>
  <c r="B221" i="3" s="1"/>
  <c r="W220" i="3" l="1"/>
  <c r="L220" i="3"/>
  <c r="AA221" i="3"/>
  <c r="AC221" i="3"/>
  <c r="P221" i="3"/>
  <c r="Q221" i="3" s="1"/>
  <c r="R221" i="3" s="1"/>
  <c r="S221" i="3" s="1"/>
  <c r="Z221" i="3"/>
  <c r="T221" i="3" l="1"/>
  <c r="U220" i="3"/>
  <c r="Y219" i="3"/>
  <c r="D221" i="3" l="1"/>
  <c r="G221" i="3" s="1"/>
  <c r="AH221" i="3"/>
  <c r="AG221" i="3"/>
  <c r="E221" i="3"/>
  <c r="H221" i="3" s="1"/>
  <c r="K221" i="3" l="1"/>
  <c r="AE221" i="3" s="1"/>
  <c r="I221" i="3"/>
  <c r="J221" i="3"/>
  <c r="AD221" i="3" s="1"/>
  <c r="M221" i="3"/>
  <c r="N221" i="3" s="1"/>
  <c r="F221" i="3"/>
  <c r="L221" i="3" l="1"/>
  <c r="V221" i="3"/>
  <c r="W221" i="3" s="1"/>
  <c r="A222" i="3"/>
  <c r="B222" i="3" s="1"/>
  <c r="P222" i="3" l="1"/>
  <c r="Q222" i="3" s="1"/>
  <c r="R222" i="3" s="1"/>
  <c r="S222" i="3" s="1"/>
  <c r="AC222" i="3"/>
  <c r="Z222" i="3"/>
  <c r="AA222" i="3"/>
  <c r="AD222" i="3"/>
  <c r="U221" i="3"/>
  <c r="Y220" i="3"/>
  <c r="T222" i="3" l="1"/>
  <c r="AH222" i="3" s="1"/>
  <c r="E222" i="3" l="1"/>
  <c r="H222" i="3" s="1"/>
  <c r="AG222" i="3"/>
  <c r="D222" i="3"/>
  <c r="F222" i="3" l="1"/>
  <c r="G222" i="3"/>
  <c r="K222" i="3"/>
  <c r="AE222" i="3" s="1"/>
  <c r="I222" i="3" l="1"/>
  <c r="J222" i="3"/>
  <c r="M222" i="3"/>
  <c r="N222" i="3" s="1"/>
  <c r="V222" i="3"/>
  <c r="A223" i="3"/>
  <c r="B223" i="3" s="1"/>
  <c r="W222" i="3" l="1"/>
  <c r="L222" i="3"/>
  <c r="P223" i="3"/>
  <c r="Q223" i="3" s="1"/>
  <c r="R223" i="3" s="1"/>
  <c r="S223" i="3" s="1"/>
  <c r="Z223" i="3"/>
  <c r="AC223" i="3"/>
  <c r="AD223" i="3"/>
  <c r="AA223" i="3"/>
  <c r="U222" i="3" l="1"/>
  <c r="Y221" i="3"/>
  <c r="T223" i="3"/>
  <c r="D223" i="3" l="1"/>
  <c r="G223" i="3" s="1"/>
  <c r="AG223" i="3"/>
  <c r="AH223" i="3"/>
  <c r="E223" i="3"/>
  <c r="H223" i="3" s="1"/>
  <c r="K223" i="3" s="1"/>
  <c r="AE223" i="3" s="1"/>
  <c r="F223" i="3" l="1"/>
  <c r="I223" i="3"/>
  <c r="J223" i="3"/>
  <c r="M223" i="3"/>
  <c r="N223" i="3" s="1"/>
  <c r="V223" i="3"/>
  <c r="A224" i="3"/>
  <c r="B224" i="3" s="1"/>
  <c r="W223" i="3" l="1"/>
  <c r="L223" i="3"/>
  <c r="Z224" i="3"/>
  <c r="P224" i="3"/>
  <c r="Q224" i="3" s="1"/>
  <c r="R224" i="3" s="1"/>
  <c r="S224" i="3" s="1"/>
  <c r="AC224" i="3"/>
  <c r="AA224" i="3"/>
  <c r="U223" i="3" l="1"/>
  <c r="Y222" i="3"/>
  <c r="T224" i="3"/>
  <c r="D224" i="3" l="1"/>
  <c r="G224" i="3" s="1"/>
  <c r="AG224" i="3"/>
  <c r="AH224" i="3"/>
  <c r="E224" i="3"/>
  <c r="H224" i="3" s="1"/>
  <c r="K224" i="3" s="1"/>
  <c r="AE224" i="3" s="1"/>
  <c r="F224" i="3" l="1"/>
  <c r="I224" i="3"/>
  <c r="J224" i="3"/>
  <c r="M224" i="3"/>
  <c r="N224" i="3" s="1"/>
  <c r="V224" i="3"/>
  <c r="A225" i="3"/>
  <c r="B225" i="3" s="1"/>
  <c r="W224" i="3" l="1"/>
  <c r="L224" i="3"/>
  <c r="AD224" i="3"/>
  <c r="AC225" i="3"/>
  <c r="P225" i="3"/>
  <c r="Q225" i="3" s="1"/>
  <c r="R225" i="3" s="1"/>
  <c r="S225" i="3" s="1"/>
  <c r="AA225" i="3"/>
  <c r="AD225" i="3"/>
  <c r="Z225" i="3"/>
  <c r="U224" i="3" l="1"/>
  <c r="Y223" i="3"/>
  <c r="T225" i="3"/>
  <c r="AG225" i="3" s="1"/>
  <c r="AH225" i="3" l="1"/>
  <c r="E225" i="3"/>
  <c r="H225" i="3" s="1"/>
  <c r="D225" i="3"/>
  <c r="K225" i="3" l="1"/>
  <c r="AE225" i="3" s="1"/>
  <c r="F225" i="3"/>
  <c r="G225" i="3"/>
  <c r="I225" i="3" l="1"/>
  <c r="J225" i="3"/>
  <c r="M225" i="3"/>
  <c r="N225" i="3" s="1"/>
  <c r="V225" i="3"/>
  <c r="A226" i="3"/>
  <c r="B226" i="3" s="1"/>
  <c r="W225" i="3" l="1"/>
  <c r="L225" i="3"/>
  <c r="AD226" i="3"/>
  <c r="Z226" i="3"/>
  <c r="AA226" i="3"/>
  <c r="P226" i="3"/>
  <c r="Q226" i="3" s="1"/>
  <c r="R226" i="3" s="1"/>
  <c r="S226" i="3" s="1"/>
  <c r="AC226" i="3"/>
  <c r="U225" i="3" l="1"/>
  <c r="Y224" i="3"/>
  <c r="T226" i="3"/>
  <c r="D226" i="3" l="1"/>
  <c r="G226" i="3" s="1"/>
  <c r="AH226" i="3"/>
  <c r="AG226" i="3"/>
  <c r="E226" i="3"/>
  <c r="H226" i="3" s="1"/>
  <c r="F226" i="3" l="1"/>
  <c r="I226" i="3"/>
  <c r="J226" i="3"/>
  <c r="M226" i="3"/>
  <c r="N226" i="3" s="1"/>
  <c r="K226" i="3"/>
  <c r="AE226" i="3" s="1"/>
  <c r="V226" i="3" l="1"/>
  <c r="W226" i="3" s="1"/>
  <c r="A227" i="3"/>
  <c r="B227" i="3" s="1"/>
  <c r="L226" i="3"/>
  <c r="U226" i="3" l="1"/>
  <c r="Y225" i="3"/>
  <c r="P227" i="3"/>
  <c r="Q227" i="3" s="1"/>
  <c r="R227" i="3" s="1"/>
  <c r="S227" i="3" s="1"/>
  <c r="AA227" i="3"/>
  <c r="Z227" i="3"/>
  <c r="AC227" i="3"/>
  <c r="T227" i="3" l="1"/>
  <c r="D227" i="3" s="1"/>
  <c r="E227" i="3" l="1"/>
  <c r="H227" i="3" s="1"/>
  <c r="K227" i="3" s="1"/>
  <c r="AE227" i="3" s="1"/>
  <c r="AH227" i="3"/>
  <c r="AG227" i="3"/>
  <c r="G227" i="3"/>
  <c r="F227" i="3" l="1"/>
  <c r="V227" i="3"/>
  <c r="A228" i="3"/>
  <c r="B228" i="3" s="1"/>
  <c r="I227" i="3"/>
  <c r="J227" i="3"/>
  <c r="AD227" i="3" s="1"/>
  <c r="M227" i="3"/>
  <c r="N227" i="3" s="1"/>
  <c r="L227" i="3" l="1"/>
  <c r="W227" i="3"/>
  <c r="AA228" i="3"/>
  <c r="Z228" i="3"/>
  <c r="P228" i="3"/>
  <c r="Q228" i="3" s="1"/>
  <c r="R228" i="3" s="1"/>
  <c r="S228" i="3" s="1"/>
  <c r="AC228" i="3"/>
  <c r="T228" i="3" l="1"/>
  <c r="AG228" i="3" s="1"/>
  <c r="U227" i="3"/>
  <c r="Y226" i="3"/>
  <c r="AH228" i="3" l="1"/>
  <c r="E228" i="3"/>
  <c r="H228" i="3" s="1"/>
  <c r="D228" i="3"/>
  <c r="K228" i="3" l="1"/>
  <c r="AE228" i="3" s="1"/>
  <c r="F228" i="3"/>
  <c r="G228" i="3"/>
  <c r="V228" i="3" l="1"/>
  <c r="A229" i="3"/>
  <c r="B229" i="3" s="1"/>
  <c r="I228" i="3"/>
  <c r="J228" i="3"/>
  <c r="AD228" i="3" s="1"/>
  <c r="M228" i="3"/>
  <c r="N228" i="3" s="1"/>
  <c r="W228" i="3" l="1"/>
  <c r="L228" i="3"/>
  <c r="AA229" i="3"/>
  <c r="AD229" i="3"/>
  <c r="AC229" i="3"/>
  <c r="P229" i="3"/>
  <c r="Q229" i="3" s="1"/>
  <c r="R229" i="3" s="1"/>
  <c r="S229" i="3" s="1"/>
  <c r="Z229" i="3"/>
  <c r="U228" i="3" l="1"/>
  <c r="Y227" i="3"/>
  <c r="T229" i="3"/>
  <c r="AH229" i="3" s="1"/>
  <c r="D229" i="3" l="1"/>
  <c r="E229" i="3"/>
  <c r="H229" i="3" s="1"/>
  <c r="AG229" i="3"/>
  <c r="K229" i="3" l="1"/>
  <c r="AE229" i="3" s="1"/>
  <c r="F229" i="3"/>
  <c r="G229" i="3"/>
  <c r="V229" i="3" l="1"/>
  <c r="A230" i="3"/>
  <c r="B230" i="3" s="1"/>
  <c r="I229" i="3"/>
  <c r="J229" i="3"/>
  <c r="M229" i="3"/>
  <c r="N229" i="3" s="1"/>
  <c r="L229" i="3" l="1"/>
  <c r="W229" i="3"/>
  <c r="P230" i="3"/>
  <c r="Q230" i="3" s="1"/>
  <c r="R230" i="3" s="1"/>
  <c r="S230" i="3" s="1"/>
  <c r="AA230" i="3"/>
  <c r="AC230" i="3"/>
  <c r="AD230" i="3"/>
  <c r="Z230" i="3"/>
  <c r="U229" i="3" l="1"/>
  <c r="Y228" i="3"/>
  <c r="T230" i="3"/>
  <c r="AH230" i="3" s="1"/>
  <c r="AG230" i="3" l="1"/>
  <c r="D230" i="3"/>
  <c r="E230" i="3"/>
  <c r="H230" i="3" s="1"/>
  <c r="K230" i="3" l="1"/>
  <c r="AE230" i="3" s="1"/>
  <c r="F230" i="3"/>
  <c r="G230" i="3"/>
  <c r="I230" i="3" l="1"/>
  <c r="J230" i="3"/>
  <c r="M230" i="3"/>
  <c r="N230" i="3" s="1"/>
  <c r="V230" i="3"/>
  <c r="A231" i="3"/>
  <c r="B231" i="3" s="1"/>
  <c r="W230" i="3" l="1"/>
  <c r="L230" i="3"/>
  <c r="P231" i="3"/>
  <c r="Q231" i="3" s="1"/>
  <c r="R231" i="3" s="1"/>
  <c r="S231" i="3" s="1"/>
  <c r="AA231" i="3"/>
  <c r="Z231" i="3"/>
  <c r="AC231" i="3"/>
  <c r="T231" i="3" l="1"/>
  <c r="U230" i="3"/>
  <c r="Y229" i="3"/>
  <c r="D231" i="3" l="1"/>
  <c r="G231" i="3" s="1"/>
  <c r="E231" i="3"/>
  <c r="H231" i="3" s="1"/>
  <c r="K231" i="3" s="1"/>
  <c r="AE231" i="3" s="1"/>
  <c r="AG231" i="3"/>
  <c r="AH231" i="3"/>
  <c r="F231" i="3" l="1"/>
  <c r="V231" i="3"/>
  <c r="A232" i="3"/>
  <c r="B232" i="3" s="1"/>
  <c r="I231" i="3"/>
  <c r="J231" i="3"/>
  <c r="AD231" i="3" s="1"/>
  <c r="M231" i="3"/>
  <c r="N231" i="3" s="1"/>
  <c r="L231" i="3" l="1"/>
  <c r="W231" i="3"/>
  <c r="P232" i="3"/>
  <c r="Q232" i="3" s="1"/>
  <c r="R232" i="3" s="1"/>
  <c r="S232" i="3" s="1"/>
  <c r="AD232" i="3"/>
  <c r="Z232" i="3"/>
  <c r="AA232" i="3"/>
  <c r="AC232" i="3"/>
  <c r="U231" i="3" l="1"/>
  <c r="Y230" i="3"/>
  <c r="T232" i="3"/>
  <c r="D232" i="3" l="1"/>
  <c r="G232" i="3" s="1"/>
  <c r="AG232" i="3"/>
  <c r="E232" i="3"/>
  <c r="H232" i="3" s="1"/>
  <c r="AH232" i="3"/>
  <c r="F232" i="3" l="1"/>
  <c r="I232" i="3"/>
  <c r="J232" i="3"/>
  <c r="M232" i="3"/>
  <c r="N232" i="3" s="1"/>
  <c r="K232" i="3"/>
  <c r="AE232" i="3" s="1"/>
  <c r="V232" i="3" l="1"/>
  <c r="W232" i="3" s="1"/>
  <c r="A233" i="3"/>
  <c r="B233" i="3" s="1"/>
  <c r="L232" i="3"/>
  <c r="U232" i="3" l="1"/>
  <c r="Y231" i="3"/>
  <c r="AA233" i="3"/>
  <c r="AD233" i="3"/>
  <c r="AC233" i="3"/>
  <c r="P233" i="3"/>
  <c r="Q233" i="3" s="1"/>
  <c r="R233" i="3" s="1"/>
  <c r="S233" i="3" s="1"/>
  <c r="Z233" i="3"/>
  <c r="T233" i="3" l="1"/>
  <c r="D233" i="3" s="1"/>
  <c r="AG233" i="3" l="1"/>
  <c r="AH233" i="3"/>
  <c r="E233" i="3"/>
  <c r="H233" i="3" s="1"/>
  <c r="K233" i="3" s="1"/>
  <c r="AE233" i="3" s="1"/>
  <c r="G233" i="3"/>
  <c r="F233" i="3" l="1"/>
  <c r="I233" i="3"/>
  <c r="J233" i="3"/>
  <c r="M233" i="3"/>
  <c r="N233" i="3" s="1"/>
  <c r="V233" i="3"/>
  <c r="A234" i="3"/>
  <c r="B234" i="3" s="1"/>
  <c r="W233" i="3" l="1"/>
  <c r="L233" i="3"/>
  <c r="Z234" i="3"/>
  <c r="P234" i="3"/>
  <c r="Q234" i="3" s="1"/>
  <c r="R234" i="3" s="1"/>
  <c r="S234" i="3" s="1"/>
  <c r="AC234" i="3"/>
  <c r="AA234" i="3"/>
  <c r="U233" i="3" l="1"/>
  <c r="Y232" i="3"/>
  <c r="T234" i="3"/>
  <c r="E234" i="3" l="1"/>
  <c r="H234" i="3" s="1"/>
  <c r="K234" i="3" s="1"/>
  <c r="AE234" i="3" s="1"/>
  <c r="AG234" i="3"/>
  <c r="AH234" i="3"/>
  <c r="D234" i="3"/>
  <c r="G234" i="3" s="1"/>
  <c r="F234" i="3" l="1"/>
  <c r="I234" i="3"/>
  <c r="J234" i="3"/>
  <c r="M234" i="3"/>
  <c r="N234" i="3" s="1"/>
  <c r="V234" i="3"/>
  <c r="A235" i="3"/>
  <c r="B235" i="3" s="1"/>
  <c r="L234" i="3" l="1"/>
  <c r="AD234" i="3"/>
  <c r="W234" i="3"/>
  <c r="AC235" i="3"/>
  <c r="AA235" i="3"/>
  <c r="Z235" i="3"/>
  <c r="P235" i="3"/>
  <c r="Q235" i="3" s="1"/>
  <c r="R235" i="3" s="1"/>
  <c r="S235" i="3" s="1"/>
  <c r="AD235" i="3"/>
  <c r="U234" i="3" l="1"/>
  <c r="Y233" i="3"/>
  <c r="T235" i="3"/>
  <c r="E235" i="3" l="1"/>
  <c r="H235" i="3" s="1"/>
  <c r="K235" i="3" s="1"/>
  <c r="AE235" i="3" s="1"/>
  <c r="AG235" i="3"/>
  <c r="D235" i="3"/>
  <c r="AH235" i="3"/>
  <c r="F235" i="3" l="1"/>
  <c r="G235" i="3"/>
  <c r="V235" i="3"/>
  <c r="A236" i="3"/>
  <c r="B236" i="3" s="1"/>
  <c r="AD236" i="3" l="1"/>
  <c r="P236" i="3"/>
  <c r="Q236" i="3" s="1"/>
  <c r="R236" i="3" s="1"/>
  <c r="S236" i="3" s="1"/>
  <c r="AA236" i="3"/>
  <c r="Z236" i="3"/>
  <c r="AC236" i="3"/>
  <c r="I235" i="3"/>
  <c r="W235" i="3" s="1"/>
  <c r="J235" i="3"/>
  <c r="M235" i="3"/>
  <c r="N235" i="3" s="1"/>
  <c r="T236" i="3" l="1"/>
  <c r="L235" i="3"/>
  <c r="U235" i="3" l="1"/>
  <c r="D236" i="3" s="1"/>
  <c r="AH236" i="3"/>
  <c r="AG236" i="3"/>
  <c r="Y234" i="3"/>
  <c r="E236" i="3" l="1"/>
  <c r="H236" i="3" s="1"/>
  <c r="K236" i="3" s="1"/>
  <c r="AE236" i="3" s="1"/>
  <c r="G236" i="3"/>
  <c r="F236" i="3" l="1"/>
  <c r="I236" i="3"/>
  <c r="J236" i="3"/>
  <c r="M236" i="3"/>
  <c r="N236" i="3" s="1"/>
  <c r="V236" i="3"/>
  <c r="A237" i="3"/>
  <c r="B237" i="3" s="1"/>
  <c r="W236" i="3" l="1"/>
  <c r="L236" i="3"/>
  <c r="P237" i="3"/>
  <c r="Q237" i="3" s="1"/>
  <c r="R237" i="3" s="1"/>
  <c r="S237" i="3" s="1"/>
  <c r="AA237" i="3"/>
  <c r="Z237" i="3"/>
  <c r="AC237" i="3"/>
  <c r="U236" i="3" l="1"/>
  <c r="Y235" i="3"/>
  <c r="T237" i="3"/>
  <c r="AH237" i="3" s="1"/>
  <c r="E237" i="3" l="1"/>
  <c r="H237" i="3" s="1"/>
  <c r="K237" i="3" s="1"/>
  <c r="AE237" i="3" s="1"/>
  <c r="AG237" i="3"/>
  <c r="D237" i="3"/>
  <c r="F237" i="3" l="1"/>
  <c r="G237" i="3"/>
  <c r="M237" i="3" s="1"/>
  <c r="N237" i="3" s="1"/>
  <c r="V237" i="3"/>
  <c r="A238" i="3"/>
  <c r="B238" i="3" s="1"/>
  <c r="I237" i="3" l="1"/>
  <c r="W237" i="3" s="1"/>
  <c r="J237" i="3"/>
  <c r="P238" i="3"/>
  <c r="Q238" i="3" s="1"/>
  <c r="R238" i="3" s="1"/>
  <c r="S238" i="3" s="1"/>
  <c r="Z238" i="3"/>
  <c r="AC238" i="3"/>
  <c r="AA238" i="3"/>
  <c r="L237" i="3" l="1"/>
  <c r="AD237" i="3"/>
  <c r="T238" i="3"/>
  <c r="AG238" i="3" s="1"/>
  <c r="U237" i="3"/>
  <c r="Y236" i="3"/>
  <c r="AH238" i="3" l="1"/>
  <c r="E238" i="3"/>
  <c r="H238" i="3" s="1"/>
  <c r="K238" i="3" s="1"/>
  <c r="AE238" i="3" s="1"/>
  <c r="D238" i="3"/>
  <c r="F238" i="3" l="1"/>
  <c r="G238" i="3"/>
  <c r="M238" i="3" s="1"/>
  <c r="N238" i="3" s="1"/>
  <c r="V238" i="3"/>
  <c r="A239" i="3"/>
  <c r="B239" i="3" s="1"/>
  <c r="I238" i="3" l="1"/>
  <c r="W238" i="3" s="1"/>
  <c r="J238" i="3"/>
  <c r="AD239" i="3"/>
  <c r="P239" i="3"/>
  <c r="Q239" i="3" s="1"/>
  <c r="R239" i="3" s="1"/>
  <c r="S239" i="3" s="1"/>
  <c r="AC239" i="3"/>
  <c r="Z239" i="3"/>
  <c r="AA239" i="3"/>
  <c r="L238" i="3" l="1"/>
  <c r="AD238" i="3"/>
  <c r="T239" i="3"/>
  <c r="U238" i="3"/>
  <c r="Y237" i="3"/>
  <c r="D239" i="3" l="1"/>
  <c r="G239" i="3" s="1"/>
  <c r="E239" i="3"/>
  <c r="H239" i="3" s="1"/>
  <c r="K239" i="3" s="1"/>
  <c r="AE239" i="3" s="1"/>
  <c r="AG239" i="3"/>
  <c r="AH239" i="3"/>
  <c r="F239" i="3" l="1"/>
  <c r="I239" i="3"/>
  <c r="J239" i="3"/>
  <c r="M239" i="3"/>
  <c r="N239" i="3" s="1"/>
  <c r="V239" i="3"/>
  <c r="A240" i="3"/>
  <c r="B240" i="3" s="1"/>
  <c r="W239" i="3" l="1"/>
  <c r="L239" i="3"/>
  <c r="Z240" i="3"/>
  <c r="P240" i="3"/>
  <c r="Q240" i="3" s="1"/>
  <c r="R240" i="3" s="1"/>
  <c r="S240" i="3" s="1"/>
  <c r="AD240" i="3"/>
  <c r="AA240" i="3"/>
  <c r="AC240" i="3"/>
  <c r="U239" i="3" l="1"/>
  <c r="Y238" i="3"/>
  <c r="T240" i="3"/>
  <c r="E240" i="3" l="1"/>
  <c r="H240" i="3" s="1"/>
  <c r="K240" i="3" s="1"/>
  <c r="AE240" i="3" s="1"/>
  <c r="D240" i="3"/>
  <c r="AG240" i="3"/>
  <c r="AH240" i="3"/>
  <c r="V240" i="3" l="1"/>
  <c r="A241" i="3"/>
  <c r="B241" i="3" s="1"/>
  <c r="F240" i="3"/>
  <c r="G240" i="3"/>
  <c r="I240" i="3" l="1"/>
  <c r="W240" i="3" s="1"/>
  <c r="J240" i="3"/>
  <c r="M240" i="3"/>
  <c r="N240" i="3" s="1"/>
  <c r="Z241" i="3"/>
  <c r="AC241" i="3"/>
  <c r="P241" i="3"/>
  <c r="Q241" i="3" s="1"/>
  <c r="R241" i="3" s="1"/>
  <c r="S241" i="3" s="1"/>
  <c r="AA241" i="3"/>
  <c r="T241" i="3" l="1"/>
  <c r="L240" i="3"/>
  <c r="AG241" i="3" l="1"/>
  <c r="AH241" i="3"/>
  <c r="U240" i="3"/>
  <c r="D241" i="3" s="1"/>
  <c r="Y239" i="3"/>
  <c r="G241" i="3" l="1"/>
  <c r="E241" i="3"/>
  <c r="H241" i="3" s="1"/>
  <c r="F241" i="3" l="1"/>
  <c r="I241" i="3"/>
  <c r="J241" i="3"/>
  <c r="AD241" i="3" s="1"/>
  <c r="M241" i="3"/>
  <c r="N241" i="3" s="1"/>
  <c r="K241" i="3"/>
  <c r="AE241" i="3" s="1"/>
  <c r="V241" i="3" l="1"/>
  <c r="W241" i="3" s="1"/>
  <c r="A242" i="3"/>
  <c r="B242" i="3" s="1"/>
  <c r="L241" i="3"/>
  <c r="U241" i="3" l="1"/>
  <c r="Y240" i="3"/>
  <c r="Z242" i="3"/>
  <c r="AA242" i="3"/>
  <c r="P242" i="3"/>
  <c r="Q242" i="3" s="1"/>
  <c r="R242" i="3" s="1"/>
  <c r="S242" i="3" s="1"/>
  <c r="AD242" i="3"/>
  <c r="AC242" i="3"/>
  <c r="T242" i="3" l="1"/>
  <c r="D242" i="3" s="1"/>
  <c r="E242" i="3" l="1"/>
  <c r="H242" i="3" s="1"/>
  <c r="K242" i="3" s="1"/>
  <c r="AE242" i="3" s="1"/>
  <c r="G242" i="3"/>
  <c r="AH242" i="3"/>
  <c r="AG242" i="3"/>
  <c r="F242" i="3" l="1"/>
  <c r="I242" i="3"/>
  <c r="J242" i="3"/>
  <c r="M242" i="3"/>
  <c r="N242" i="3" s="1"/>
  <c r="V242" i="3"/>
  <c r="A243" i="3"/>
  <c r="B243" i="3" s="1"/>
  <c r="W242" i="3" l="1"/>
  <c r="L242" i="3"/>
  <c r="AA243" i="3"/>
  <c r="AC243" i="3"/>
  <c r="Z243" i="3"/>
  <c r="P243" i="3"/>
  <c r="Q243" i="3" s="1"/>
  <c r="R243" i="3" s="1"/>
  <c r="S243" i="3" s="1"/>
  <c r="AD243" i="3"/>
  <c r="U242" i="3" l="1"/>
  <c r="Y241" i="3"/>
  <c r="T243" i="3"/>
  <c r="AH243" i="3" s="1"/>
  <c r="D243" i="3" l="1"/>
  <c r="G243" i="3" s="1"/>
  <c r="E243" i="3"/>
  <c r="H243" i="3" s="1"/>
  <c r="K243" i="3" s="1"/>
  <c r="AE243" i="3" s="1"/>
  <c r="AG243" i="3"/>
  <c r="F243" i="3" l="1"/>
  <c r="I243" i="3"/>
  <c r="J243" i="3"/>
  <c r="M243" i="3"/>
  <c r="N243" i="3" s="1"/>
  <c r="V243" i="3"/>
  <c r="A244" i="3"/>
  <c r="B244" i="3" s="1"/>
  <c r="W243" i="3" l="1"/>
  <c r="L243" i="3"/>
  <c r="AA244" i="3"/>
  <c r="P244" i="3"/>
  <c r="Q244" i="3" s="1"/>
  <c r="R244" i="3" s="1"/>
  <c r="S244" i="3" s="1"/>
  <c r="Z244" i="3"/>
  <c r="AC244" i="3"/>
  <c r="U243" i="3" l="1"/>
  <c r="Y242" i="3"/>
  <c r="T244" i="3"/>
  <c r="D244" i="3" l="1"/>
  <c r="G244" i="3" s="1"/>
  <c r="E244" i="3"/>
  <c r="H244" i="3" s="1"/>
  <c r="AG244" i="3"/>
  <c r="AH244" i="3"/>
  <c r="I244" i="3" l="1"/>
  <c r="J244" i="3"/>
  <c r="M244" i="3"/>
  <c r="N244" i="3" s="1"/>
  <c r="F244" i="3"/>
  <c r="K244" i="3"/>
  <c r="AE244" i="3" s="1"/>
  <c r="L244" i="3" l="1"/>
  <c r="AD244" i="3"/>
  <c r="V244" i="3"/>
  <c r="W244" i="3" s="1"/>
  <c r="A245" i="3"/>
  <c r="B245" i="3" s="1"/>
  <c r="U244" i="3" l="1"/>
  <c r="Y243" i="3"/>
  <c r="Z245" i="3"/>
  <c r="AD245" i="3"/>
  <c r="AA245" i="3"/>
  <c r="P245" i="3"/>
  <c r="Q245" i="3" s="1"/>
  <c r="R245" i="3" s="1"/>
  <c r="S245" i="3" s="1"/>
  <c r="AC245" i="3"/>
  <c r="T245" i="3" l="1"/>
  <c r="AG245" i="3" s="1"/>
  <c r="D245" i="3" l="1"/>
  <c r="G245" i="3" s="1"/>
  <c r="AH245" i="3"/>
  <c r="E245" i="3"/>
  <c r="H245" i="3" s="1"/>
  <c r="F245" i="3" l="1"/>
  <c r="I245" i="3"/>
  <c r="J245" i="3"/>
  <c r="M245" i="3"/>
  <c r="N245" i="3" s="1"/>
  <c r="K245" i="3"/>
  <c r="AE245" i="3" s="1"/>
  <c r="V245" i="3" l="1"/>
  <c r="W245" i="3" s="1"/>
  <c r="A246" i="3"/>
  <c r="B246" i="3" s="1"/>
  <c r="L245" i="3"/>
  <c r="U245" i="3" l="1"/>
  <c r="Y244" i="3"/>
  <c r="P246" i="3"/>
  <c r="Q246" i="3" s="1"/>
  <c r="R246" i="3" s="1"/>
  <c r="S246" i="3" s="1"/>
  <c r="AC246" i="3"/>
  <c r="Z246" i="3"/>
  <c r="AD246" i="3"/>
  <c r="AA246" i="3"/>
  <c r="T246" i="3" l="1"/>
  <c r="D246" i="3" s="1"/>
  <c r="E246" i="3" l="1"/>
  <c r="H246" i="3" s="1"/>
  <c r="K246" i="3" s="1"/>
  <c r="AE246" i="3" s="1"/>
  <c r="AG246" i="3"/>
  <c r="AH246" i="3"/>
  <c r="G246" i="3"/>
  <c r="F246" i="3" l="1"/>
  <c r="I246" i="3"/>
  <c r="J246" i="3"/>
  <c r="M246" i="3"/>
  <c r="N246" i="3" s="1"/>
  <c r="V246" i="3"/>
  <c r="A247" i="3"/>
  <c r="B247" i="3" s="1"/>
  <c r="W246" i="3" l="1"/>
  <c r="L246" i="3"/>
  <c r="P247" i="3"/>
  <c r="Q247" i="3" s="1"/>
  <c r="R247" i="3" s="1"/>
  <c r="S247" i="3" s="1"/>
  <c r="AA247" i="3"/>
  <c r="AC247" i="3"/>
  <c r="Z247" i="3"/>
  <c r="U246" i="3" l="1"/>
  <c r="Y245" i="3"/>
  <c r="T247" i="3"/>
  <c r="AG247" i="3" s="1"/>
  <c r="AH247" i="3" l="1"/>
  <c r="D247" i="3"/>
  <c r="E247" i="3"/>
  <c r="H247" i="3" s="1"/>
  <c r="K247" i="3" s="1"/>
  <c r="AE247" i="3" s="1"/>
  <c r="F247" i="3" l="1"/>
  <c r="G247" i="3"/>
  <c r="M247" i="3" s="1"/>
  <c r="N247" i="3" s="1"/>
  <c r="V247" i="3"/>
  <c r="A248" i="3"/>
  <c r="B248" i="3" s="1"/>
  <c r="I247" i="3" l="1"/>
  <c r="W247" i="3" s="1"/>
  <c r="J247" i="3"/>
  <c r="Z248" i="3"/>
  <c r="P248" i="3"/>
  <c r="Q248" i="3" s="1"/>
  <c r="R248" i="3" s="1"/>
  <c r="S248" i="3" s="1"/>
  <c r="AA248" i="3"/>
  <c r="AC248" i="3"/>
  <c r="L247" i="3" l="1"/>
  <c r="U247" i="3" s="1"/>
  <c r="AD247" i="3"/>
  <c r="T248" i="3"/>
  <c r="AG248" i="3" s="1"/>
  <c r="Y246" i="3" l="1"/>
  <c r="E248" i="3"/>
  <c r="H248" i="3" s="1"/>
  <c r="K248" i="3" s="1"/>
  <c r="AE248" i="3" s="1"/>
  <c r="AH248" i="3"/>
  <c r="D248" i="3"/>
  <c r="G248" i="3" s="1"/>
  <c r="F248" i="3" l="1"/>
  <c r="I248" i="3"/>
  <c r="J248" i="3"/>
  <c r="AD248" i="3" s="1"/>
  <c r="M248" i="3"/>
  <c r="N248" i="3" s="1"/>
  <c r="V248" i="3"/>
  <c r="A249" i="3"/>
  <c r="B249" i="3" s="1"/>
  <c r="W248" i="3" l="1"/>
  <c r="L248" i="3"/>
  <c r="AC249" i="3"/>
  <c r="P249" i="3"/>
  <c r="Q249" i="3" s="1"/>
  <c r="R249" i="3" s="1"/>
  <c r="S249" i="3" s="1"/>
  <c r="Z249" i="3"/>
  <c r="AD249" i="3"/>
  <c r="AA249" i="3"/>
  <c r="U248" i="3" l="1"/>
  <c r="Y247" i="3"/>
  <c r="T249" i="3"/>
  <c r="AG249" i="3" s="1"/>
  <c r="D249" i="3" l="1"/>
  <c r="G249" i="3" s="1"/>
  <c r="AH249" i="3"/>
  <c r="E249" i="3"/>
  <c r="H249" i="3" s="1"/>
  <c r="K249" i="3" s="1"/>
  <c r="AE249" i="3" s="1"/>
  <c r="F249" i="3" l="1"/>
  <c r="I249" i="3"/>
  <c r="J249" i="3"/>
  <c r="M249" i="3"/>
  <c r="N249" i="3" s="1"/>
  <c r="V249" i="3"/>
  <c r="A250" i="3"/>
  <c r="B250" i="3" s="1"/>
  <c r="W249" i="3" l="1"/>
  <c r="L249" i="3"/>
  <c r="AC250" i="3"/>
  <c r="AA250" i="3"/>
  <c r="P250" i="3"/>
  <c r="Q250" i="3" s="1"/>
  <c r="R250" i="3" s="1"/>
  <c r="S250" i="3" s="1"/>
  <c r="AD250" i="3"/>
  <c r="Z250" i="3"/>
  <c r="T250" i="3" l="1"/>
  <c r="AG250" i="3" s="1"/>
  <c r="U249" i="3"/>
  <c r="Y248" i="3"/>
  <c r="D250" i="3" l="1"/>
  <c r="E250" i="3"/>
  <c r="H250" i="3" s="1"/>
  <c r="AH250" i="3"/>
  <c r="F250" i="3" l="1"/>
  <c r="G250" i="3"/>
  <c r="K250" i="3"/>
  <c r="AE250" i="3" s="1"/>
  <c r="V250" i="3" l="1"/>
  <c r="A251" i="3"/>
  <c r="B251" i="3" s="1"/>
  <c r="I250" i="3"/>
  <c r="J250" i="3"/>
  <c r="M250" i="3"/>
  <c r="N250" i="3" s="1"/>
  <c r="W250" i="3" l="1"/>
  <c r="L250" i="3"/>
  <c r="P251" i="3"/>
  <c r="Q251" i="3" s="1"/>
  <c r="R251" i="3" s="1"/>
  <c r="S251" i="3" s="1"/>
  <c r="AC251" i="3"/>
  <c r="AA251" i="3"/>
  <c r="Z251" i="3"/>
  <c r="U250" i="3" l="1"/>
  <c r="Y249" i="3"/>
  <c r="T251" i="3"/>
  <c r="D251" i="3" l="1"/>
  <c r="G251" i="3" s="1"/>
  <c r="AG251" i="3"/>
  <c r="AH251" i="3"/>
  <c r="E251" i="3"/>
  <c r="H251" i="3" s="1"/>
  <c r="I251" i="3" l="1"/>
  <c r="J251" i="3"/>
  <c r="AD251" i="3" s="1"/>
  <c r="M251" i="3"/>
  <c r="N251" i="3" s="1"/>
  <c r="K251" i="3"/>
  <c r="AE251" i="3" s="1"/>
  <c r="F251" i="3"/>
  <c r="V251" i="3" l="1"/>
  <c r="W251" i="3" s="1"/>
  <c r="A252" i="3"/>
  <c r="B252" i="3" s="1"/>
  <c r="L251" i="3"/>
  <c r="U251" i="3" l="1"/>
  <c r="Y250" i="3"/>
  <c r="AD252" i="3"/>
  <c r="Z252" i="3"/>
  <c r="AA252" i="3"/>
  <c r="P252" i="3"/>
  <c r="Q252" i="3" s="1"/>
  <c r="R252" i="3" s="1"/>
  <c r="S252" i="3" s="1"/>
  <c r="AC252" i="3"/>
  <c r="T252" i="3" l="1"/>
  <c r="AH252" i="3" s="1"/>
  <c r="E252" i="3" l="1"/>
  <c r="H252" i="3" s="1"/>
  <c r="K252" i="3" s="1"/>
  <c r="AE252" i="3" s="1"/>
  <c r="AG252" i="3"/>
  <c r="D252" i="3"/>
  <c r="F252" i="3" l="1"/>
  <c r="G252" i="3"/>
  <c r="V252" i="3"/>
  <c r="A253" i="3"/>
  <c r="B253" i="3" s="1"/>
  <c r="AC253" i="3" l="1"/>
  <c r="AA253" i="3"/>
  <c r="AD253" i="3"/>
  <c r="P253" i="3"/>
  <c r="Q253" i="3" s="1"/>
  <c r="R253" i="3" s="1"/>
  <c r="S253" i="3" s="1"/>
  <c r="Z253" i="3"/>
  <c r="I252" i="3"/>
  <c r="W252" i="3" s="1"/>
  <c r="J252" i="3"/>
  <c r="M252" i="3"/>
  <c r="N252" i="3" s="1"/>
  <c r="L252" i="3" l="1"/>
  <c r="T253" i="3"/>
  <c r="AH253" i="3" l="1"/>
  <c r="U252" i="3"/>
  <c r="E253" i="3" s="1"/>
  <c r="H253" i="3" s="1"/>
  <c r="AG253" i="3"/>
  <c r="Y251" i="3"/>
  <c r="D253" i="3" l="1"/>
  <c r="F253" i="3" s="1"/>
  <c r="K253" i="3"/>
  <c r="AE253" i="3" s="1"/>
  <c r="G253" i="3" l="1"/>
  <c r="J253" i="3" s="1"/>
  <c r="V253" i="3"/>
  <c r="A254" i="3"/>
  <c r="B254" i="3" s="1"/>
  <c r="M253" i="3" l="1"/>
  <c r="N253" i="3" s="1"/>
  <c r="I253" i="3"/>
  <c r="W253" i="3" s="1"/>
  <c r="L253" i="3"/>
  <c r="AA254" i="3"/>
  <c r="AC254" i="3"/>
  <c r="P254" i="3"/>
  <c r="Q254" i="3" s="1"/>
  <c r="R254" i="3" s="1"/>
  <c r="S254" i="3" s="1"/>
  <c r="Z254" i="3"/>
  <c r="U253" i="3" l="1"/>
  <c r="Y252" i="3"/>
  <c r="T254" i="3"/>
  <c r="AH254" i="3" s="1"/>
  <c r="D254" i="3" l="1"/>
  <c r="G254" i="3" s="1"/>
  <c r="E254" i="3"/>
  <c r="H254" i="3" s="1"/>
  <c r="K254" i="3" s="1"/>
  <c r="AE254" i="3" s="1"/>
  <c r="AG254" i="3"/>
  <c r="F254" i="3" l="1"/>
  <c r="I254" i="3"/>
  <c r="J254" i="3"/>
  <c r="M254" i="3"/>
  <c r="N254" i="3" s="1"/>
  <c r="V254" i="3"/>
  <c r="A255" i="3"/>
  <c r="B255" i="3" s="1"/>
  <c r="W254" i="3" l="1"/>
  <c r="L254" i="3"/>
  <c r="AD254" i="3"/>
  <c r="AA255" i="3"/>
  <c r="AC255" i="3"/>
  <c r="AD255" i="3"/>
  <c r="Z255" i="3"/>
  <c r="P255" i="3"/>
  <c r="Q255" i="3" s="1"/>
  <c r="R255" i="3" s="1"/>
  <c r="S255" i="3" s="1"/>
  <c r="U254" i="3" l="1"/>
  <c r="Y253" i="3"/>
  <c r="T255" i="3"/>
  <c r="D255" i="3" l="1"/>
  <c r="G255" i="3" s="1"/>
  <c r="AG255" i="3"/>
  <c r="AH255" i="3"/>
  <c r="E255" i="3"/>
  <c r="H255" i="3" s="1"/>
  <c r="K255" i="3" s="1"/>
  <c r="AE255" i="3" s="1"/>
  <c r="F255" i="3" l="1"/>
  <c r="I255" i="3"/>
  <c r="J255" i="3"/>
  <c r="M255" i="3"/>
  <c r="N255" i="3" s="1"/>
  <c r="V255" i="3"/>
  <c r="A256" i="3"/>
  <c r="B256" i="3" s="1"/>
  <c r="W255" i="3" l="1"/>
  <c r="L255" i="3"/>
  <c r="AA256" i="3"/>
  <c r="AD256" i="3"/>
  <c r="P256" i="3"/>
  <c r="Q256" i="3" s="1"/>
  <c r="R256" i="3" s="1"/>
  <c r="S256" i="3" s="1"/>
  <c r="Z256" i="3"/>
  <c r="AC256" i="3"/>
  <c r="U255" i="3" l="1"/>
  <c r="Y254" i="3"/>
  <c r="T256" i="3"/>
  <c r="D256" i="3" l="1"/>
  <c r="G256" i="3" s="1"/>
  <c r="E256" i="3"/>
  <c r="H256" i="3" s="1"/>
  <c r="AH256" i="3"/>
  <c r="AG256" i="3"/>
  <c r="F256" i="3" l="1"/>
  <c r="I256" i="3"/>
  <c r="J256" i="3"/>
  <c r="M256" i="3"/>
  <c r="N256" i="3" s="1"/>
  <c r="K256" i="3"/>
  <c r="AE256" i="3" s="1"/>
  <c r="L256" i="3" l="1"/>
  <c r="V256" i="3"/>
  <c r="W256" i="3" s="1"/>
  <c r="A257" i="3"/>
  <c r="B257" i="3" s="1"/>
  <c r="U256" i="3" l="1"/>
  <c r="Y255" i="3"/>
  <c r="AC257" i="3"/>
  <c r="Z257" i="3"/>
  <c r="P257" i="3"/>
  <c r="Q257" i="3" s="1"/>
  <c r="R257" i="3" s="1"/>
  <c r="S257" i="3" s="1"/>
  <c r="AA257" i="3"/>
  <c r="T257" i="3" l="1"/>
  <c r="D257" i="3" s="1"/>
  <c r="E257" i="3" l="1"/>
  <c r="H257" i="3" s="1"/>
  <c r="K257" i="3" s="1"/>
  <c r="AE257" i="3" s="1"/>
  <c r="AG257" i="3"/>
  <c r="AH257" i="3"/>
  <c r="G257" i="3"/>
  <c r="F257" i="3" l="1"/>
  <c r="V257" i="3"/>
  <c r="A258" i="3"/>
  <c r="B258" i="3" s="1"/>
  <c r="I257" i="3"/>
  <c r="J257" i="3"/>
  <c r="AD257" i="3" s="1"/>
  <c r="M257" i="3"/>
  <c r="N257" i="3" s="1"/>
  <c r="W257" i="3" l="1"/>
  <c r="L257" i="3"/>
  <c r="AC258" i="3"/>
  <c r="Z258" i="3"/>
  <c r="P258" i="3"/>
  <c r="Q258" i="3" s="1"/>
  <c r="R258" i="3" s="1"/>
  <c r="S258" i="3" s="1"/>
  <c r="AA258" i="3"/>
  <c r="U257" i="3" l="1"/>
  <c r="Y256" i="3"/>
  <c r="T258" i="3"/>
  <c r="AG258" i="3" s="1"/>
  <c r="E258" i="3" l="1"/>
  <c r="H258" i="3" s="1"/>
  <c r="D258" i="3"/>
  <c r="AH258" i="3"/>
  <c r="F258" i="3" l="1"/>
  <c r="G258" i="3"/>
  <c r="K258" i="3"/>
  <c r="AE258" i="3" s="1"/>
  <c r="V258" i="3" l="1"/>
  <c r="A259" i="3"/>
  <c r="B259" i="3" s="1"/>
  <c r="I258" i="3"/>
  <c r="J258" i="3"/>
  <c r="AD258" i="3" s="1"/>
  <c r="M258" i="3"/>
  <c r="N258" i="3" s="1"/>
  <c r="L258" i="3" l="1"/>
  <c r="AC259" i="3"/>
  <c r="P259" i="3"/>
  <c r="Q259" i="3" s="1"/>
  <c r="R259" i="3" s="1"/>
  <c r="S259" i="3" s="1"/>
  <c r="Z259" i="3"/>
  <c r="AD259" i="3"/>
  <c r="AA259" i="3"/>
  <c r="W258" i="3"/>
  <c r="U258" i="3" l="1"/>
  <c r="Y257" i="3"/>
  <c r="T259" i="3"/>
  <c r="AH259" i="3" s="1"/>
  <c r="D259" i="3" l="1"/>
  <c r="G259" i="3" s="1"/>
  <c r="AG259" i="3"/>
  <c r="E259" i="3"/>
  <c r="H259" i="3" s="1"/>
  <c r="K259" i="3" s="1"/>
  <c r="AE259" i="3" s="1"/>
  <c r="F259" i="3" l="1"/>
  <c r="I259" i="3"/>
  <c r="J259" i="3"/>
  <c r="M259" i="3"/>
  <c r="N259" i="3" s="1"/>
  <c r="V259" i="3"/>
  <c r="A260" i="3"/>
  <c r="B260" i="3" s="1"/>
  <c r="W259" i="3" l="1"/>
  <c r="L259" i="3"/>
  <c r="AA260" i="3"/>
  <c r="P260" i="3"/>
  <c r="Q260" i="3" s="1"/>
  <c r="R260" i="3" s="1"/>
  <c r="S260" i="3" s="1"/>
  <c r="AD260" i="3"/>
  <c r="Z260" i="3"/>
  <c r="AC260" i="3"/>
  <c r="U259" i="3" l="1"/>
  <c r="Y258" i="3"/>
  <c r="T260" i="3"/>
  <c r="AH260" i="3" s="1"/>
  <c r="AG260" i="3" l="1"/>
  <c r="D260" i="3"/>
  <c r="E260" i="3"/>
  <c r="H260" i="3" s="1"/>
  <c r="K260" i="3" l="1"/>
  <c r="AE260" i="3" s="1"/>
  <c r="F260" i="3"/>
  <c r="G260" i="3"/>
  <c r="I260" i="3" l="1"/>
  <c r="J260" i="3"/>
  <c r="M260" i="3"/>
  <c r="N260" i="3" s="1"/>
  <c r="V260" i="3"/>
  <c r="A261" i="3"/>
  <c r="B261" i="3" s="1"/>
  <c r="W260" i="3" l="1"/>
  <c r="L260" i="3"/>
  <c r="Z261" i="3"/>
  <c r="AA261" i="3"/>
  <c r="P261" i="3"/>
  <c r="Q261" i="3" s="1"/>
  <c r="R261" i="3" s="1"/>
  <c r="S261" i="3" s="1"/>
  <c r="AC261" i="3"/>
  <c r="U260" i="3" l="1"/>
  <c r="Y259" i="3"/>
  <c r="T261" i="3"/>
  <c r="AH261" i="3" s="1"/>
  <c r="E261" i="3" l="1"/>
  <c r="H261" i="3" s="1"/>
  <c r="D261" i="3"/>
  <c r="AG261" i="3"/>
  <c r="K261" i="3" l="1"/>
  <c r="AE261" i="3" s="1"/>
  <c r="F261" i="3"/>
  <c r="G261" i="3"/>
  <c r="I261" i="3" l="1"/>
  <c r="J261" i="3"/>
  <c r="AD261" i="3" s="1"/>
  <c r="M261" i="3"/>
  <c r="N261" i="3" s="1"/>
  <c r="V261" i="3"/>
  <c r="A262" i="3"/>
  <c r="B262" i="3" s="1"/>
  <c r="W261" i="3" l="1"/>
  <c r="L261" i="3"/>
  <c r="AA262" i="3"/>
  <c r="Z262" i="3"/>
  <c r="P262" i="3"/>
  <c r="Q262" i="3" s="1"/>
  <c r="R262" i="3" s="1"/>
  <c r="S262" i="3" s="1"/>
  <c r="AC262" i="3"/>
  <c r="AD262" i="3"/>
  <c r="T262" i="3" l="1"/>
  <c r="AG262" i="3" s="1"/>
  <c r="U261" i="3"/>
  <c r="Y260" i="3"/>
  <c r="E262" i="3" l="1"/>
  <c r="H262" i="3" s="1"/>
  <c r="K262" i="3" s="1"/>
  <c r="AE262" i="3" s="1"/>
  <c r="AH262" i="3"/>
  <c r="D262" i="3"/>
  <c r="F262" i="3" l="1"/>
  <c r="G262" i="3"/>
  <c r="V262" i="3"/>
  <c r="A263" i="3"/>
  <c r="B263" i="3" s="1"/>
  <c r="P263" i="3" l="1"/>
  <c r="Q263" i="3" s="1"/>
  <c r="R263" i="3" s="1"/>
  <c r="S263" i="3" s="1"/>
  <c r="AA263" i="3"/>
  <c r="Z263" i="3"/>
  <c r="AD263" i="3"/>
  <c r="AC263" i="3"/>
  <c r="I262" i="3"/>
  <c r="W262" i="3" s="1"/>
  <c r="J262" i="3"/>
  <c r="M262" i="3"/>
  <c r="N262" i="3" s="1"/>
  <c r="L262" i="3" l="1"/>
  <c r="T263" i="3"/>
  <c r="U262" i="3" l="1"/>
  <c r="E263" i="3" s="1"/>
  <c r="H263" i="3" s="1"/>
  <c r="AH263" i="3"/>
  <c r="AG263" i="3"/>
  <c r="Y261" i="3"/>
  <c r="D263" i="3" l="1"/>
  <c r="G263" i="3" s="1"/>
  <c r="K263" i="3"/>
  <c r="AE263" i="3" s="1"/>
  <c r="F263" i="3" l="1"/>
  <c r="V263" i="3"/>
  <c r="A264" i="3"/>
  <c r="B264" i="3" s="1"/>
  <c r="I263" i="3"/>
  <c r="J263" i="3"/>
  <c r="M263" i="3"/>
  <c r="N263" i="3" s="1"/>
  <c r="W263" i="3" l="1"/>
  <c r="L263" i="3"/>
  <c r="P264" i="3"/>
  <c r="Q264" i="3" s="1"/>
  <c r="R264" i="3" s="1"/>
  <c r="S264" i="3" s="1"/>
  <c r="AA264" i="3"/>
  <c r="AC264" i="3"/>
  <c r="Z264" i="3"/>
  <c r="U263" i="3" l="1"/>
  <c r="Y262" i="3"/>
  <c r="T264" i="3"/>
  <c r="AH264" i="3" s="1"/>
  <c r="AG264" i="3" l="1"/>
  <c r="D264" i="3"/>
  <c r="G264" i="3" s="1"/>
  <c r="E264" i="3"/>
  <c r="H264" i="3" s="1"/>
  <c r="K264" i="3" l="1"/>
  <c r="AE264" i="3" s="1"/>
  <c r="I264" i="3"/>
  <c r="J264" i="3"/>
  <c r="AD264" i="3" s="1"/>
  <c r="M264" i="3"/>
  <c r="N264" i="3" s="1"/>
  <c r="F264" i="3"/>
  <c r="L264" i="3" l="1"/>
  <c r="V264" i="3"/>
  <c r="W264" i="3" s="1"/>
  <c r="A265" i="3"/>
  <c r="B265" i="3" s="1"/>
  <c r="U264" i="3" l="1"/>
  <c r="Y263" i="3"/>
  <c r="P265" i="3"/>
  <c r="Q265" i="3" s="1"/>
  <c r="R265" i="3" s="1"/>
  <c r="S265" i="3" s="1"/>
  <c r="AA265" i="3"/>
  <c r="AD265" i="3"/>
  <c r="Z265" i="3"/>
  <c r="AC265" i="3"/>
  <c r="T265" i="3" l="1"/>
  <c r="AG265" i="3" l="1"/>
  <c r="AH265" i="3"/>
  <c r="D265" i="3"/>
  <c r="E265" i="3"/>
  <c r="H265" i="3" s="1"/>
  <c r="F265" i="3" l="1"/>
  <c r="G265" i="3"/>
  <c r="K265" i="3"/>
  <c r="AE265" i="3" s="1"/>
  <c r="I265" i="3" l="1"/>
  <c r="J265" i="3"/>
  <c r="M265" i="3"/>
  <c r="N265" i="3" s="1"/>
  <c r="V265" i="3"/>
  <c r="A266" i="3"/>
  <c r="B266" i="3" s="1"/>
  <c r="L265" i="3" l="1"/>
  <c r="W265" i="3"/>
  <c r="P266" i="3"/>
  <c r="Q266" i="3" s="1"/>
  <c r="R266" i="3" s="1"/>
  <c r="S266" i="3" s="1"/>
  <c r="AC266" i="3"/>
  <c r="Z266" i="3"/>
  <c r="AA266" i="3"/>
  <c r="AD266" i="3"/>
  <c r="T266" i="3" l="1"/>
  <c r="U265" i="3"/>
  <c r="Y264" i="3"/>
  <c r="E266" i="3" l="1"/>
  <c r="H266" i="3" s="1"/>
  <c r="K266" i="3" s="1"/>
  <c r="AE266" i="3" s="1"/>
  <c r="AH266" i="3"/>
  <c r="AG266" i="3"/>
  <c r="D266" i="3"/>
  <c r="V266" i="3" l="1"/>
  <c r="A267" i="3"/>
  <c r="B267" i="3" s="1"/>
  <c r="F266" i="3"/>
  <c r="G266" i="3"/>
  <c r="I266" i="3" l="1"/>
  <c r="W266" i="3" s="1"/>
  <c r="J266" i="3"/>
  <c r="M266" i="3"/>
  <c r="N266" i="3" s="1"/>
  <c r="AC267" i="3"/>
  <c r="P267" i="3"/>
  <c r="Q267" i="3" s="1"/>
  <c r="R267" i="3" s="1"/>
  <c r="S267" i="3" s="1"/>
  <c r="AA267" i="3"/>
  <c r="Z267" i="3"/>
  <c r="T267" i="3" l="1"/>
  <c r="L266" i="3"/>
  <c r="AH267" i="3" l="1"/>
  <c r="AG267" i="3"/>
  <c r="U266" i="3"/>
  <c r="E267" i="3" s="1"/>
  <c r="H267" i="3" s="1"/>
  <c r="Y265" i="3"/>
  <c r="K267" i="3" l="1"/>
  <c r="AE267" i="3" s="1"/>
  <c r="D267" i="3"/>
  <c r="V267" i="3" l="1"/>
  <c r="A268" i="3"/>
  <c r="B268" i="3" s="1"/>
  <c r="F267" i="3"/>
  <c r="G267" i="3"/>
  <c r="I267" i="3" l="1"/>
  <c r="W267" i="3" s="1"/>
  <c r="J267" i="3"/>
  <c r="AD267" i="3" s="1"/>
  <c r="M267" i="3"/>
  <c r="N267" i="3" s="1"/>
  <c r="AC268" i="3"/>
  <c r="P268" i="3"/>
  <c r="Q268" i="3" s="1"/>
  <c r="R268" i="3" s="1"/>
  <c r="S268" i="3" s="1"/>
  <c r="Z268" i="3"/>
  <c r="AA268" i="3"/>
  <c r="T268" i="3" l="1"/>
  <c r="L267" i="3"/>
  <c r="U267" i="3" l="1"/>
  <c r="E268" i="3" s="1"/>
  <c r="H268" i="3" s="1"/>
  <c r="AH268" i="3"/>
  <c r="AG268" i="3"/>
  <c r="Y266" i="3"/>
  <c r="K268" i="3" l="1"/>
  <c r="AE268" i="3" s="1"/>
  <c r="D268" i="3"/>
  <c r="V268" i="3" l="1"/>
  <c r="A269" i="3"/>
  <c r="B269" i="3" s="1"/>
  <c r="F268" i="3"/>
  <c r="G268" i="3"/>
  <c r="I268" i="3" l="1"/>
  <c r="W268" i="3" s="1"/>
  <c r="J268" i="3"/>
  <c r="AD268" i="3" s="1"/>
  <c r="M268" i="3"/>
  <c r="N268" i="3" s="1"/>
  <c r="AD269" i="3"/>
  <c r="P269" i="3"/>
  <c r="Q269" i="3" s="1"/>
  <c r="R269" i="3" s="1"/>
  <c r="S269" i="3" s="1"/>
  <c r="AA269" i="3"/>
  <c r="Z269" i="3"/>
  <c r="AC269" i="3"/>
  <c r="T269" i="3" l="1"/>
  <c r="L268" i="3"/>
  <c r="U268" i="3" l="1"/>
  <c r="D269" i="3" s="1"/>
  <c r="AH269" i="3"/>
  <c r="AG269" i="3"/>
  <c r="Y267" i="3"/>
  <c r="G269" i="3" l="1"/>
  <c r="E269" i="3"/>
  <c r="H269" i="3" s="1"/>
  <c r="F269" i="3" l="1"/>
  <c r="I269" i="3"/>
  <c r="J269" i="3"/>
  <c r="M269" i="3"/>
  <c r="N269" i="3" s="1"/>
  <c r="K269" i="3"/>
  <c r="AE269" i="3" s="1"/>
  <c r="V269" i="3" l="1"/>
  <c r="W269" i="3" s="1"/>
  <c r="A270" i="3"/>
  <c r="B270" i="3" s="1"/>
  <c r="L269" i="3"/>
  <c r="U269" i="3" l="1"/>
  <c r="Y268" i="3"/>
  <c r="AA270" i="3"/>
  <c r="Z270" i="3"/>
  <c r="P270" i="3"/>
  <c r="Q270" i="3" s="1"/>
  <c r="R270" i="3" s="1"/>
  <c r="S270" i="3" s="1"/>
  <c r="AC270" i="3"/>
  <c r="AD270" i="3"/>
  <c r="T270" i="3" l="1"/>
  <c r="AG270" i="3" s="1"/>
  <c r="AH270" i="3" l="1"/>
  <c r="E270" i="3"/>
  <c r="H270" i="3" s="1"/>
  <c r="K270" i="3" s="1"/>
  <c r="AE270" i="3" s="1"/>
  <c r="D270" i="3"/>
  <c r="G270" i="3" s="1"/>
  <c r="F270" i="3" l="1"/>
  <c r="V270" i="3"/>
  <c r="A271" i="3"/>
  <c r="B271" i="3" s="1"/>
  <c r="I270" i="3"/>
  <c r="J270" i="3"/>
  <c r="M270" i="3"/>
  <c r="N270" i="3" s="1"/>
  <c r="L270" i="3" l="1"/>
  <c r="Z271" i="3"/>
  <c r="AA271" i="3"/>
  <c r="P271" i="3"/>
  <c r="Q271" i="3" s="1"/>
  <c r="R271" i="3" s="1"/>
  <c r="S271" i="3" s="1"/>
  <c r="AC271" i="3"/>
  <c r="W270" i="3"/>
  <c r="U270" i="3" l="1"/>
  <c r="Y269" i="3"/>
  <c r="T271" i="3"/>
  <c r="AH271" i="3" s="1"/>
  <c r="AG271" i="3" l="1"/>
  <c r="D271" i="3"/>
  <c r="E271" i="3"/>
  <c r="H271" i="3" s="1"/>
  <c r="K271" i="3" l="1"/>
  <c r="AE271" i="3" s="1"/>
  <c r="F271" i="3"/>
  <c r="G271" i="3"/>
  <c r="I271" i="3" l="1"/>
  <c r="J271" i="3"/>
  <c r="AD271" i="3" s="1"/>
  <c r="M271" i="3"/>
  <c r="N271" i="3" s="1"/>
  <c r="V271" i="3"/>
  <c r="A272" i="3"/>
  <c r="B272" i="3" s="1"/>
  <c r="W271" i="3" l="1"/>
  <c r="L271" i="3"/>
  <c r="AD272" i="3"/>
  <c r="Z272" i="3"/>
  <c r="AA272" i="3"/>
  <c r="P272" i="3"/>
  <c r="Q272" i="3" s="1"/>
  <c r="R272" i="3" s="1"/>
  <c r="S272" i="3" s="1"/>
  <c r="AC272" i="3"/>
  <c r="T272" i="3" l="1"/>
  <c r="U271" i="3"/>
  <c r="Y270" i="3"/>
  <c r="D272" i="3" l="1"/>
  <c r="G272" i="3" s="1"/>
  <c r="E272" i="3"/>
  <c r="H272" i="3" s="1"/>
  <c r="K272" i="3" s="1"/>
  <c r="AE272" i="3" s="1"/>
  <c r="AG272" i="3"/>
  <c r="AH272" i="3"/>
  <c r="F272" i="3" l="1"/>
  <c r="I272" i="3"/>
  <c r="J272" i="3"/>
  <c r="M272" i="3"/>
  <c r="N272" i="3" s="1"/>
  <c r="V272" i="3"/>
  <c r="A273" i="3"/>
  <c r="B273" i="3" s="1"/>
  <c r="W272" i="3" l="1"/>
  <c r="L272" i="3"/>
  <c r="AA273" i="3"/>
  <c r="P273" i="3"/>
  <c r="Q273" i="3" s="1"/>
  <c r="R273" i="3" s="1"/>
  <c r="S273" i="3" s="1"/>
  <c r="Z273" i="3"/>
  <c r="AC273" i="3"/>
  <c r="AD273" i="3"/>
  <c r="T273" i="3" l="1"/>
  <c r="AG273" i="3" s="1"/>
  <c r="U272" i="3"/>
  <c r="Y271" i="3"/>
  <c r="D273" i="3" l="1"/>
  <c r="G273" i="3" s="1"/>
  <c r="AH273" i="3"/>
  <c r="E273" i="3"/>
  <c r="H273" i="3" s="1"/>
  <c r="F273" i="3" l="1"/>
  <c r="I273" i="3"/>
  <c r="J273" i="3"/>
  <c r="M273" i="3"/>
  <c r="N273" i="3" s="1"/>
  <c r="K273" i="3"/>
  <c r="AE273" i="3" s="1"/>
  <c r="L273" i="3" l="1"/>
  <c r="V273" i="3"/>
  <c r="W273" i="3" s="1"/>
  <c r="A274" i="3"/>
  <c r="B274" i="3" s="1"/>
  <c r="P274" i="3" l="1"/>
  <c r="Q274" i="3" s="1"/>
  <c r="R274" i="3" s="1"/>
  <c r="S274" i="3" s="1"/>
  <c r="AC274" i="3"/>
  <c r="Z274" i="3"/>
  <c r="AA274" i="3"/>
  <c r="U273" i="3"/>
  <c r="Y272" i="3"/>
  <c r="T274" i="3" l="1"/>
  <c r="AG274" i="3" s="1"/>
  <c r="D274" i="3" l="1"/>
  <c r="G274" i="3" s="1"/>
  <c r="AH274" i="3"/>
  <c r="E274" i="3"/>
  <c r="H274" i="3" s="1"/>
  <c r="I274" i="3" l="1"/>
  <c r="J274" i="3"/>
  <c r="AD274" i="3" s="1"/>
  <c r="M274" i="3"/>
  <c r="N274" i="3" s="1"/>
  <c r="K274" i="3"/>
  <c r="AE274" i="3" s="1"/>
  <c r="F274" i="3"/>
  <c r="L274" i="3" l="1"/>
  <c r="V274" i="3"/>
  <c r="W274" i="3" s="1"/>
  <c r="A275" i="3"/>
  <c r="B275" i="3" s="1"/>
  <c r="U274" i="3" l="1"/>
  <c r="Y273" i="3"/>
  <c r="AA275" i="3"/>
  <c r="P275" i="3"/>
  <c r="Q275" i="3" s="1"/>
  <c r="R275" i="3" s="1"/>
  <c r="S275" i="3" s="1"/>
  <c r="AD275" i="3"/>
  <c r="Z275" i="3"/>
  <c r="AC275" i="3"/>
  <c r="T275" i="3" l="1"/>
  <c r="AH275" i="3" s="1"/>
  <c r="E275" i="3" l="1"/>
  <c r="H275" i="3" s="1"/>
  <c r="AG275" i="3"/>
  <c r="D275" i="3"/>
  <c r="F275" i="3" l="1"/>
  <c r="G275" i="3"/>
  <c r="K275" i="3"/>
  <c r="AE275" i="3" s="1"/>
  <c r="I275" i="3" l="1"/>
  <c r="J275" i="3"/>
  <c r="M275" i="3"/>
  <c r="N275" i="3" s="1"/>
  <c r="V275" i="3"/>
  <c r="A276" i="3"/>
  <c r="B276" i="3" s="1"/>
  <c r="W275" i="3" l="1"/>
  <c r="L275" i="3"/>
  <c r="AA276" i="3"/>
  <c r="Z276" i="3"/>
  <c r="P276" i="3"/>
  <c r="Q276" i="3" s="1"/>
  <c r="R276" i="3" s="1"/>
  <c r="S276" i="3" s="1"/>
  <c r="AC276" i="3"/>
  <c r="AD276" i="3"/>
  <c r="U275" i="3" l="1"/>
  <c r="Y274" i="3"/>
  <c r="T276" i="3"/>
  <c r="AH276" i="3" s="1"/>
  <c r="D276" i="3" l="1"/>
  <c r="AG276" i="3"/>
  <c r="E276" i="3"/>
  <c r="H276" i="3" s="1"/>
  <c r="F276" i="3" l="1"/>
  <c r="G276" i="3"/>
  <c r="K276" i="3"/>
  <c r="AE276" i="3" s="1"/>
  <c r="I276" i="3" l="1"/>
  <c r="J276" i="3"/>
  <c r="M276" i="3"/>
  <c r="N276" i="3" s="1"/>
  <c r="V276" i="3"/>
  <c r="A277" i="3"/>
  <c r="B277" i="3" s="1"/>
  <c r="W276" i="3" l="1"/>
  <c r="L276" i="3"/>
  <c r="P277" i="3"/>
  <c r="Q277" i="3" s="1"/>
  <c r="R277" i="3" s="1"/>
  <c r="S277" i="3" s="1"/>
  <c r="AC277" i="3"/>
  <c r="Z277" i="3"/>
  <c r="AA277" i="3"/>
  <c r="U276" i="3" l="1"/>
  <c r="Y275" i="3"/>
  <c r="T277" i="3"/>
  <c r="AG277" i="3" s="1"/>
  <c r="D277" i="3" l="1"/>
  <c r="G277" i="3" s="1"/>
  <c r="E277" i="3"/>
  <c r="H277" i="3" s="1"/>
  <c r="K277" i="3" s="1"/>
  <c r="AE277" i="3" s="1"/>
  <c r="AH277" i="3"/>
  <c r="F277" i="3" l="1"/>
  <c r="V277" i="3"/>
  <c r="A278" i="3"/>
  <c r="B278" i="3" s="1"/>
  <c r="I277" i="3"/>
  <c r="J277" i="3"/>
  <c r="AD277" i="3" s="1"/>
  <c r="M277" i="3"/>
  <c r="N277" i="3" s="1"/>
  <c r="W277" i="3" l="1"/>
  <c r="L277" i="3"/>
  <c r="AC278" i="3"/>
  <c r="Z278" i="3"/>
  <c r="P278" i="3"/>
  <c r="Q278" i="3" s="1"/>
  <c r="R278" i="3" s="1"/>
  <c r="S278" i="3" s="1"/>
  <c r="AA278" i="3"/>
  <c r="T278" i="3" l="1"/>
  <c r="U277" i="3"/>
  <c r="Y276" i="3"/>
  <c r="E278" i="3" l="1"/>
  <c r="H278" i="3" s="1"/>
  <c r="K278" i="3" s="1"/>
  <c r="AE278" i="3" s="1"/>
  <c r="D278" i="3"/>
  <c r="AH278" i="3"/>
  <c r="AG278" i="3"/>
  <c r="V278" i="3" l="1"/>
  <c r="A279" i="3"/>
  <c r="B279" i="3" s="1"/>
  <c r="F278" i="3"/>
  <c r="G278" i="3"/>
  <c r="I278" i="3" l="1"/>
  <c r="W278" i="3" s="1"/>
  <c r="J278" i="3"/>
  <c r="AD278" i="3" s="1"/>
  <c r="M278" i="3"/>
  <c r="N278" i="3" s="1"/>
  <c r="P279" i="3"/>
  <c r="Q279" i="3" s="1"/>
  <c r="R279" i="3" s="1"/>
  <c r="S279" i="3" s="1"/>
  <c r="AA279" i="3"/>
  <c r="AD279" i="3"/>
  <c r="Z279" i="3"/>
  <c r="AC279" i="3"/>
  <c r="T279" i="3" l="1"/>
  <c r="L278" i="3"/>
  <c r="U278" i="3" l="1"/>
  <c r="D279" i="3" s="1"/>
  <c r="AG279" i="3"/>
  <c r="AH279" i="3"/>
  <c r="Y277" i="3"/>
  <c r="G279" i="3" l="1"/>
  <c r="E279" i="3"/>
  <c r="H279" i="3" s="1"/>
  <c r="I279" i="3" l="1"/>
  <c r="J279" i="3"/>
  <c r="M279" i="3"/>
  <c r="N279" i="3" s="1"/>
  <c r="F279" i="3"/>
  <c r="K279" i="3"/>
  <c r="AE279" i="3" s="1"/>
  <c r="V279" i="3" l="1"/>
  <c r="W279" i="3" s="1"/>
  <c r="A280" i="3"/>
  <c r="B280" i="3" s="1"/>
  <c r="L279" i="3"/>
  <c r="U279" i="3" l="1"/>
  <c r="Y278" i="3"/>
  <c r="AA280" i="3"/>
  <c r="P280" i="3"/>
  <c r="Q280" i="3" s="1"/>
  <c r="R280" i="3" s="1"/>
  <c r="S280" i="3" s="1"/>
  <c r="AD280" i="3"/>
  <c r="AC280" i="3"/>
  <c r="Z280" i="3"/>
  <c r="T280" i="3" l="1"/>
  <c r="AH280" i="3" s="1"/>
  <c r="D280" i="3" l="1"/>
  <c r="G280" i="3" s="1"/>
  <c r="E280" i="3"/>
  <c r="H280" i="3" s="1"/>
  <c r="K280" i="3" s="1"/>
  <c r="AE280" i="3" s="1"/>
  <c r="AG280" i="3"/>
  <c r="F280" i="3" l="1"/>
  <c r="I280" i="3"/>
  <c r="J280" i="3"/>
  <c r="M280" i="3"/>
  <c r="N280" i="3" s="1"/>
  <c r="V280" i="3"/>
  <c r="A281" i="3"/>
  <c r="B281" i="3" s="1"/>
  <c r="L280" i="3" l="1"/>
  <c r="W280" i="3"/>
  <c r="AC281" i="3"/>
  <c r="AA281" i="3"/>
  <c r="P281" i="3"/>
  <c r="Q281" i="3" s="1"/>
  <c r="R281" i="3" s="1"/>
  <c r="S281" i="3" s="1"/>
  <c r="Z281" i="3"/>
  <c r="T281" i="3" l="1"/>
  <c r="AG281" i="3" s="1"/>
  <c r="U280" i="3"/>
  <c r="Y279" i="3"/>
  <c r="D281" i="3" l="1"/>
  <c r="E281" i="3"/>
  <c r="H281" i="3" s="1"/>
  <c r="AH281" i="3"/>
  <c r="F281" i="3" l="1"/>
  <c r="G281" i="3"/>
  <c r="K281" i="3"/>
  <c r="AE281" i="3" s="1"/>
  <c r="I281" i="3" l="1"/>
  <c r="J281" i="3"/>
  <c r="AD281" i="3" s="1"/>
  <c r="M281" i="3"/>
  <c r="N281" i="3" s="1"/>
  <c r="V281" i="3"/>
  <c r="A282" i="3"/>
  <c r="B282" i="3" s="1"/>
  <c r="W281" i="3" l="1"/>
  <c r="L281" i="3"/>
  <c r="AC282" i="3"/>
  <c r="Z282" i="3"/>
  <c r="AD282" i="3"/>
  <c r="P282" i="3"/>
  <c r="Q282" i="3" s="1"/>
  <c r="R282" i="3" s="1"/>
  <c r="S282" i="3" s="1"/>
  <c r="AA282" i="3"/>
  <c r="U281" i="3" l="1"/>
  <c r="Y280" i="3"/>
  <c r="T282" i="3"/>
  <c r="D282" i="3" l="1"/>
  <c r="G282" i="3" s="1"/>
  <c r="E282" i="3"/>
  <c r="H282" i="3" s="1"/>
  <c r="AH282" i="3"/>
  <c r="AG282" i="3"/>
  <c r="F282" i="3" l="1"/>
  <c r="I282" i="3"/>
  <c r="J282" i="3"/>
  <c r="M282" i="3"/>
  <c r="N282" i="3" s="1"/>
  <c r="K282" i="3"/>
  <c r="AE282" i="3" s="1"/>
  <c r="V282" i="3" l="1"/>
  <c r="W282" i="3" s="1"/>
  <c r="A283" i="3"/>
  <c r="B283" i="3" s="1"/>
  <c r="L282" i="3"/>
  <c r="U282" i="3" l="1"/>
  <c r="Y281" i="3"/>
  <c r="Z283" i="3"/>
  <c r="AC283" i="3"/>
  <c r="AD283" i="3"/>
  <c r="P283" i="3"/>
  <c r="Q283" i="3" s="1"/>
  <c r="R283" i="3" s="1"/>
  <c r="S283" i="3" s="1"/>
  <c r="AA283" i="3"/>
  <c r="T283" i="3" l="1"/>
  <c r="AH283" i="3" s="1"/>
  <c r="AG283" i="3" l="1"/>
  <c r="E283" i="3"/>
  <c r="H283" i="3" s="1"/>
  <c r="K283" i="3" s="1"/>
  <c r="AE283" i="3" s="1"/>
  <c r="D283" i="3"/>
  <c r="F283" i="3" l="1"/>
  <c r="G283" i="3"/>
  <c r="J283" i="3" s="1"/>
  <c r="V283" i="3"/>
  <c r="A284" i="3"/>
  <c r="B284" i="3" s="1"/>
  <c r="M283" i="3" l="1"/>
  <c r="N283" i="3" s="1"/>
  <c r="I283" i="3"/>
  <c r="W283" i="3" s="1"/>
  <c r="L283" i="3"/>
  <c r="AC284" i="3"/>
  <c r="AA284" i="3"/>
  <c r="P284" i="3"/>
  <c r="Q284" i="3" s="1"/>
  <c r="R284" i="3" s="1"/>
  <c r="S284" i="3" s="1"/>
  <c r="Z284" i="3"/>
  <c r="T284" i="3" l="1"/>
  <c r="AH284" i="3" s="1"/>
  <c r="U283" i="3"/>
  <c r="Y282" i="3"/>
  <c r="AG284" i="3" l="1"/>
  <c r="D284" i="3"/>
  <c r="E284" i="3"/>
  <c r="H284" i="3" s="1"/>
  <c r="F284" i="3" l="1"/>
  <c r="G284" i="3"/>
  <c r="K284" i="3"/>
  <c r="AE284" i="3" s="1"/>
  <c r="V284" i="3" l="1"/>
  <c r="A285" i="3"/>
  <c r="B285" i="3" s="1"/>
  <c r="I284" i="3"/>
  <c r="J284" i="3"/>
  <c r="AD284" i="3" s="1"/>
  <c r="M284" i="3"/>
  <c r="N284" i="3" s="1"/>
  <c r="W284" i="3" l="1"/>
  <c r="L284" i="3"/>
  <c r="AA285" i="3"/>
  <c r="P285" i="3"/>
  <c r="Q285" i="3" s="1"/>
  <c r="R285" i="3" s="1"/>
  <c r="S285" i="3" s="1"/>
  <c r="Z285" i="3"/>
  <c r="AC285" i="3"/>
  <c r="U284" i="3" l="1"/>
  <c r="Y283" i="3"/>
  <c r="T285" i="3"/>
  <c r="E285" i="3" l="1"/>
  <c r="H285" i="3" s="1"/>
  <c r="K285" i="3" s="1"/>
  <c r="AE285" i="3" s="1"/>
  <c r="AH285" i="3"/>
  <c r="D285" i="3"/>
  <c r="G285" i="3" s="1"/>
  <c r="AG285" i="3"/>
  <c r="F285" i="3" l="1"/>
  <c r="V285" i="3"/>
  <c r="A286" i="3"/>
  <c r="B286" i="3" s="1"/>
  <c r="I285" i="3"/>
  <c r="J285" i="3"/>
  <c r="AD285" i="3" s="1"/>
  <c r="M285" i="3"/>
  <c r="N285" i="3" s="1"/>
  <c r="W285" i="3" l="1"/>
  <c r="L285" i="3"/>
  <c r="AA286" i="3"/>
  <c r="P286" i="3"/>
  <c r="Q286" i="3" s="1"/>
  <c r="R286" i="3" s="1"/>
  <c r="S286" i="3" s="1"/>
  <c r="AC286" i="3"/>
  <c r="Z286" i="3"/>
  <c r="T286" i="3" l="1"/>
  <c r="AH286" i="3" s="1"/>
  <c r="U285" i="3"/>
  <c r="Y284" i="3"/>
  <c r="D286" i="3" l="1"/>
  <c r="G286" i="3" s="1"/>
  <c r="AG286" i="3"/>
  <c r="E286" i="3"/>
  <c r="H286" i="3" s="1"/>
  <c r="F286" i="3" l="1"/>
  <c r="I286" i="3"/>
  <c r="J286" i="3"/>
  <c r="AD286" i="3" s="1"/>
  <c r="M286" i="3"/>
  <c r="N286" i="3" s="1"/>
  <c r="K286" i="3"/>
  <c r="AE286" i="3" s="1"/>
  <c r="V286" i="3" l="1"/>
  <c r="W286" i="3" s="1"/>
  <c r="A287" i="3"/>
  <c r="B287" i="3" s="1"/>
  <c r="L286" i="3"/>
  <c r="U286" i="3" l="1"/>
  <c r="Y285" i="3"/>
  <c r="P287" i="3"/>
  <c r="Q287" i="3" s="1"/>
  <c r="R287" i="3" s="1"/>
  <c r="S287" i="3" s="1"/>
  <c r="AA287" i="3"/>
  <c r="Z287" i="3"/>
  <c r="AC287" i="3"/>
  <c r="T287" i="3" l="1"/>
  <c r="D287" i="3" s="1"/>
  <c r="G287" i="3" l="1"/>
  <c r="AH287" i="3"/>
  <c r="AG287" i="3"/>
  <c r="E287" i="3"/>
  <c r="H287" i="3" s="1"/>
  <c r="F287" i="3" l="1"/>
  <c r="K287" i="3"/>
  <c r="AE287" i="3" s="1"/>
  <c r="I287" i="3"/>
  <c r="J287" i="3"/>
  <c r="AD287" i="3" s="1"/>
  <c r="M287" i="3"/>
  <c r="N287" i="3" s="1"/>
  <c r="L287" i="3" l="1"/>
  <c r="V287" i="3"/>
  <c r="W287" i="3" s="1"/>
  <c r="A288" i="3"/>
  <c r="B288" i="3" s="1"/>
  <c r="U287" i="3" l="1"/>
  <c r="Y286" i="3"/>
  <c r="P288" i="3"/>
  <c r="Q288" i="3" s="1"/>
  <c r="R288" i="3" s="1"/>
  <c r="S288" i="3" s="1"/>
  <c r="AA288" i="3"/>
  <c r="AC288" i="3"/>
  <c r="Z288" i="3"/>
  <c r="T288" i="3" l="1"/>
  <c r="D288" i="3" s="1"/>
  <c r="AG288" i="3" l="1"/>
  <c r="AH288" i="3"/>
  <c r="E288" i="3"/>
  <c r="H288" i="3" s="1"/>
  <c r="K288" i="3" s="1"/>
  <c r="AE288" i="3" s="1"/>
  <c r="G288" i="3"/>
  <c r="F288" i="3" l="1"/>
  <c r="I288" i="3"/>
  <c r="J288" i="3"/>
  <c r="AD288" i="3" s="1"/>
  <c r="M288" i="3"/>
  <c r="N288" i="3" s="1"/>
  <c r="V288" i="3"/>
  <c r="A289" i="3"/>
  <c r="B289" i="3" s="1"/>
  <c r="W288" i="3" l="1"/>
  <c r="L288" i="3"/>
  <c r="P289" i="3"/>
  <c r="Q289" i="3" s="1"/>
  <c r="R289" i="3" s="1"/>
  <c r="S289" i="3" s="1"/>
  <c r="AA289" i="3"/>
  <c r="AC289" i="3"/>
  <c r="Z289" i="3"/>
  <c r="T289" i="3" l="1"/>
  <c r="U288" i="3"/>
  <c r="Y287" i="3"/>
  <c r="E289" i="3" l="1"/>
  <c r="H289" i="3" s="1"/>
  <c r="K289" i="3" s="1"/>
  <c r="AE289" i="3" s="1"/>
  <c r="AH289" i="3"/>
  <c r="AG289" i="3"/>
  <c r="D289" i="3"/>
  <c r="V289" i="3" l="1"/>
  <c r="A290" i="3"/>
  <c r="B290" i="3" s="1"/>
  <c r="F289" i="3"/>
  <c r="G289" i="3"/>
  <c r="I289" i="3" l="1"/>
  <c r="W289" i="3" s="1"/>
  <c r="J289" i="3"/>
  <c r="AD289" i="3" s="1"/>
  <c r="M289" i="3"/>
  <c r="N289" i="3" s="1"/>
  <c r="AA290" i="3"/>
  <c r="AC290" i="3"/>
  <c r="Z290" i="3"/>
  <c r="P290" i="3"/>
  <c r="Q290" i="3" s="1"/>
  <c r="R290" i="3" s="1"/>
  <c r="S290" i="3" s="1"/>
  <c r="T290" i="3" l="1"/>
  <c r="L289" i="3"/>
  <c r="U289" i="3" l="1"/>
  <c r="E290" i="3" s="1"/>
  <c r="H290" i="3" s="1"/>
  <c r="AH290" i="3"/>
  <c r="AG290" i="3"/>
  <c r="Y288" i="3"/>
  <c r="D290" i="3" l="1"/>
  <c r="G290" i="3" s="1"/>
  <c r="K290" i="3"/>
  <c r="AE290" i="3" s="1"/>
  <c r="F290" i="3" l="1"/>
  <c r="I290" i="3"/>
  <c r="J290" i="3"/>
  <c r="AD290" i="3" s="1"/>
  <c r="M290" i="3"/>
  <c r="N290" i="3" s="1"/>
  <c r="V290" i="3"/>
  <c r="A291" i="3"/>
  <c r="B291" i="3" s="1"/>
  <c r="L290" i="3" l="1"/>
  <c r="W290" i="3"/>
  <c r="P291" i="3"/>
  <c r="Q291" i="3" s="1"/>
  <c r="R291" i="3" s="1"/>
  <c r="S291" i="3" s="1"/>
  <c r="Z291" i="3"/>
  <c r="AA291" i="3"/>
  <c r="AC291" i="3"/>
  <c r="U290" i="3" l="1"/>
  <c r="Y289" i="3"/>
  <c r="T291" i="3"/>
  <c r="AG291" i="3" s="1"/>
  <c r="D291" i="3" l="1"/>
  <c r="E291" i="3"/>
  <c r="H291" i="3" s="1"/>
  <c r="AH291" i="3"/>
  <c r="K291" i="3" l="1"/>
  <c r="AE291" i="3" s="1"/>
  <c r="F291" i="3"/>
  <c r="G291" i="3"/>
  <c r="I291" i="3" l="1"/>
  <c r="J291" i="3"/>
  <c r="AD291" i="3" s="1"/>
  <c r="M291" i="3"/>
  <c r="N291" i="3" s="1"/>
  <c r="V291" i="3"/>
  <c r="A292" i="3"/>
  <c r="B292" i="3" s="1"/>
  <c r="W291" i="3" l="1"/>
  <c r="L291" i="3"/>
  <c r="Z292" i="3"/>
  <c r="AC292" i="3"/>
  <c r="AA292" i="3"/>
  <c r="P292" i="3"/>
  <c r="Q292" i="3" s="1"/>
  <c r="R292" i="3" s="1"/>
  <c r="S292" i="3" s="1"/>
  <c r="U291" i="3" l="1"/>
  <c r="Y290" i="3"/>
  <c r="T292" i="3"/>
  <c r="E292" i="3" l="1"/>
  <c r="H292" i="3" s="1"/>
  <c r="K292" i="3" s="1"/>
  <c r="AE292" i="3" s="1"/>
  <c r="D292" i="3"/>
  <c r="AG292" i="3"/>
  <c r="AH292" i="3"/>
  <c r="V292" i="3" l="1"/>
  <c r="A293" i="3"/>
  <c r="B293" i="3" s="1"/>
  <c r="F292" i="3"/>
  <c r="G292" i="3"/>
  <c r="I292" i="3" l="1"/>
  <c r="W292" i="3" s="1"/>
  <c r="J292" i="3"/>
  <c r="AD292" i="3" s="1"/>
  <c r="M292" i="3"/>
  <c r="N292" i="3" s="1"/>
  <c r="Z293" i="3"/>
  <c r="AC293" i="3"/>
  <c r="P293" i="3"/>
  <c r="Q293" i="3" s="1"/>
  <c r="R293" i="3" s="1"/>
  <c r="S293" i="3" s="1"/>
  <c r="AA293" i="3"/>
  <c r="L292" i="3" l="1"/>
  <c r="T293" i="3"/>
  <c r="U292" i="3" l="1"/>
  <c r="E293" i="3" s="1"/>
  <c r="H293" i="3" s="1"/>
  <c r="AH293" i="3"/>
  <c r="AG293" i="3"/>
  <c r="Y291" i="3"/>
  <c r="K293" i="3" l="1"/>
  <c r="AE293" i="3" s="1"/>
  <c r="D293" i="3"/>
  <c r="V293" i="3" l="1"/>
  <c r="A294" i="3"/>
  <c r="B294" i="3" s="1"/>
  <c r="F293" i="3"/>
  <c r="G293" i="3"/>
  <c r="I293" i="3" l="1"/>
  <c r="W293" i="3" s="1"/>
  <c r="J293" i="3"/>
  <c r="AD293" i="3" s="1"/>
  <c r="M293" i="3"/>
  <c r="N293" i="3" s="1"/>
  <c r="AA294" i="3"/>
  <c r="P294" i="3"/>
  <c r="Q294" i="3" s="1"/>
  <c r="R294" i="3" s="1"/>
  <c r="S294" i="3" s="1"/>
  <c r="Z294" i="3"/>
  <c r="AC294" i="3"/>
  <c r="L293" i="3" l="1"/>
  <c r="T294" i="3"/>
  <c r="AG294" i="3" l="1"/>
  <c r="U293" i="3"/>
  <c r="E294" i="3" s="1"/>
  <c r="H294" i="3" s="1"/>
  <c r="AH294" i="3"/>
  <c r="Y292" i="3"/>
  <c r="D294" i="3" l="1"/>
  <c r="G294" i="3" s="1"/>
  <c r="K294" i="3"/>
  <c r="AE294" i="3" s="1"/>
  <c r="F294" i="3" l="1"/>
  <c r="I294" i="3"/>
  <c r="J294" i="3"/>
  <c r="AD294" i="3" s="1"/>
  <c r="M294" i="3"/>
  <c r="N294" i="3" s="1"/>
  <c r="V294" i="3"/>
  <c r="A295" i="3"/>
  <c r="B295" i="3" s="1"/>
  <c r="L294" i="3" l="1"/>
  <c r="W294" i="3"/>
  <c r="AA295" i="3"/>
  <c r="AD295" i="3"/>
  <c r="P295" i="3"/>
  <c r="Q295" i="3" s="1"/>
  <c r="R295" i="3" s="1"/>
  <c r="S295" i="3" s="1"/>
  <c r="AC295" i="3"/>
  <c r="Z295" i="3"/>
  <c r="U294" i="3" l="1"/>
  <c r="Y293" i="3"/>
  <c r="T295" i="3"/>
  <c r="AG295" i="3" s="1"/>
  <c r="D295" i="3" l="1"/>
  <c r="AH295" i="3"/>
  <c r="E295" i="3"/>
  <c r="H295" i="3" s="1"/>
  <c r="F295" i="3" l="1"/>
  <c r="G295" i="3"/>
  <c r="K295" i="3"/>
  <c r="AE295" i="3" s="1"/>
  <c r="V295" i="3" l="1"/>
  <c r="A296" i="3"/>
  <c r="B296" i="3" s="1"/>
  <c r="I295" i="3"/>
  <c r="J295" i="3"/>
  <c r="M295" i="3"/>
  <c r="N295" i="3" s="1"/>
  <c r="L295" i="3" l="1"/>
  <c r="AC296" i="3"/>
  <c r="Z296" i="3"/>
  <c r="AD296" i="3"/>
  <c r="P296" i="3"/>
  <c r="Q296" i="3" s="1"/>
  <c r="R296" i="3" s="1"/>
  <c r="S296" i="3" s="1"/>
  <c r="AA296" i="3"/>
  <c r="W295" i="3"/>
  <c r="T296" i="3" l="1"/>
  <c r="U295" i="3"/>
  <c r="Y294" i="3"/>
  <c r="D296" i="3" l="1"/>
  <c r="G296" i="3" s="1"/>
  <c r="AG296" i="3"/>
  <c r="AH296" i="3"/>
  <c r="E296" i="3"/>
  <c r="H296" i="3" s="1"/>
  <c r="F296" i="3" l="1"/>
  <c r="I296" i="3"/>
  <c r="J296" i="3"/>
  <c r="M296" i="3"/>
  <c r="N296" i="3" s="1"/>
  <c r="K296" i="3"/>
  <c r="AE296" i="3" s="1"/>
  <c r="V296" i="3" l="1"/>
  <c r="W296" i="3" s="1"/>
  <c r="A297" i="3"/>
  <c r="B297" i="3" s="1"/>
  <c r="L296" i="3"/>
  <c r="U296" i="3" l="1"/>
  <c r="Y295" i="3"/>
  <c r="AA297" i="3"/>
  <c r="P297" i="3"/>
  <c r="Q297" i="3" s="1"/>
  <c r="R297" i="3" s="1"/>
  <c r="S297" i="3" s="1"/>
  <c r="Z297" i="3"/>
  <c r="AC297" i="3"/>
  <c r="T297" i="3" l="1"/>
  <c r="E297" i="3" s="1"/>
  <c r="H297" i="3" s="1"/>
  <c r="D297" i="3" l="1"/>
  <c r="F297" i="3" s="1"/>
  <c r="AG297" i="3"/>
  <c r="K297" i="3"/>
  <c r="AE297" i="3" s="1"/>
  <c r="AH297" i="3"/>
  <c r="G297" i="3" l="1"/>
  <c r="M297" i="3" s="1"/>
  <c r="N297" i="3" s="1"/>
  <c r="V297" i="3"/>
  <c r="A298" i="3"/>
  <c r="B298" i="3" s="1"/>
  <c r="J297" i="3" l="1"/>
  <c r="I297" i="3"/>
  <c r="W297" i="3" s="1"/>
  <c r="Z298" i="3"/>
  <c r="P298" i="3"/>
  <c r="Q298" i="3" s="1"/>
  <c r="R298" i="3" s="1"/>
  <c r="S298" i="3" s="1"/>
  <c r="AA298" i="3"/>
  <c r="AC298" i="3"/>
  <c r="L297" i="3" l="1"/>
  <c r="AD297" i="3"/>
  <c r="T298" i="3"/>
  <c r="U297" i="3"/>
  <c r="Y296" i="3"/>
  <c r="E298" i="3" l="1"/>
  <c r="H298" i="3" s="1"/>
  <c r="K298" i="3" s="1"/>
  <c r="AE298" i="3" s="1"/>
  <c r="AH298" i="3"/>
  <c r="D298" i="3"/>
  <c r="AG298" i="3"/>
  <c r="F298" i="3" l="1"/>
  <c r="G298" i="3"/>
  <c r="V298" i="3"/>
  <c r="A299" i="3"/>
  <c r="B299" i="3" s="1"/>
  <c r="I298" i="3" l="1"/>
  <c r="W298" i="3" s="1"/>
  <c r="J298" i="3"/>
  <c r="AD298" i="3" s="1"/>
  <c r="M298" i="3"/>
  <c r="N298" i="3" s="1"/>
  <c r="Z299" i="3"/>
  <c r="AD299" i="3"/>
  <c r="P299" i="3"/>
  <c r="Q299" i="3" s="1"/>
  <c r="R299" i="3" s="1"/>
  <c r="S299" i="3" s="1"/>
  <c r="AA299" i="3"/>
  <c r="AC299" i="3"/>
  <c r="L298" i="3" l="1"/>
  <c r="T299" i="3"/>
  <c r="AG299" i="3" l="1"/>
  <c r="U298" i="3"/>
  <c r="E299" i="3" s="1"/>
  <c r="H299" i="3" s="1"/>
  <c r="AH299" i="3"/>
  <c r="Y297" i="3"/>
  <c r="D299" i="3" l="1"/>
  <c r="G299" i="3" s="1"/>
  <c r="K299" i="3"/>
  <c r="AE299" i="3" s="1"/>
  <c r="F299" i="3" l="1"/>
  <c r="I299" i="3"/>
  <c r="J299" i="3"/>
  <c r="M299" i="3"/>
  <c r="N299" i="3" s="1"/>
  <c r="V299" i="3"/>
  <c r="A300" i="3"/>
  <c r="B300" i="3" s="1"/>
  <c r="W299" i="3" l="1"/>
  <c r="L299" i="3"/>
  <c r="Z300" i="3"/>
  <c r="P300" i="3"/>
  <c r="Q300" i="3" s="1"/>
  <c r="R300" i="3" s="1"/>
  <c r="S300" i="3" s="1"/>
  <c r="AD300" i="3"/>
  <c r="AA300" i="3"/>
  <c r="AC300" i="3"/>
  <c r="U299" i="3" l="1"/>
  <c r="Y298" i="3"/>
  <c r="T300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I300" i="3" l="1"/>
  <c r="W300" i="3" s="1"/>
  <c r="J300" i="3"/>
  <c r="M300" i="3"/>
  <c r="N300" i="3" s="1"/>
  <c r="AC301" i="3"/>
  <c r="Z301" i="3"/>
  <c r="AA301" i="3"/>
  <c r="P301" i="3"/>
  <c r="Q301" i="3" s="1"/>
  <c r="R301" i="3" s="1"/>
  <c r="S301" i="3" s="1"/>
  <c r="L300" i="3" l="1"/>
  <c r="T301" i="3"/>
  <c r="AH301" i="3" l="1"/>
  <c r="U300" i="3"/>
  <c r="D301" i="3" s="1"/>
  <c r="AG301" i="3"/>
  <c r="Y299" i="3"/>
  <c r="E301" i="3" l="1"/>
  <c r="H301" i="3" s="1"/>
  <c r="K301" i="3" s="1"/>
  <c r="AE301" i="3" s="1"/>
  <c r="G301" i="3"/>
  <c r="F301" i="3" l="1"/>
  <c r="I301" i="3"/>
  <c r="J301" i="3"/>
  <c r="AD301" i="3" s="1"/>
  <c r="M301" i="3"/>
  <c r="N301" i="3" s="1"/>
  <c r="V301" i="3"/>
  <c r="A302" i="3"/>
  <c r="B302" i="3" s="1"/>
  <c r="W301" i="3" l="1"/>
  <c r="L301" i="3"/>
  <c r="P302" i="3"/>
  <c r="Q302" i="3" s="1"/>
  <c r="R302" i="3" s="1"/>
  <c r="S302" i="3" s="1"/>
  <c r="AA302" i="3"/>
  <c r="AC302" i="3"/>
  <c r="AD302" i="3"/>
  <c r="Z302" i="3"/>
  <c r="U301" i="3" l="1"/>
  <c r="Y300" i="3"/>
  <c r="T302" i="3"/>
  <c r="AG302" i="3" s="1"/>
  <c r="AH302" i="3" l="1"/>
  <c r="D302" i="3"/>
  <c r="E302" i="3"/>
  <c r="H302" i="3" s="1"/>
  <c r="K302" i="3" s="1"/>
  <c r="AE302" i="3" s="1"/>
  <c r="F302" i="3" l="1"/>
  <c r="G302" i="3"/>
  <c r="M302" i="3" s="1"/>
  <c r="N302" i="3" s="1"/>
  <c r="V302" i="3"/>
  <c r="A303" i="3"/>
  <c r="B303" i="3" s="1"/>
  <c r="I302" i="3" l="1"/>
  <c r="W302" i="3" s="1"/>
  <c r="J302" i="3"/>
  <c r="L302" i="3" s="1"/>
  <c r="AD303" i="3"/>
  <c r="Z303" i="3"/>
  <c r="P303" i="3"/>
  <c r="Q303" i="3" s="1"/>
  <c r="R303" i="3" s="1"/>
  <c r="S303" i="3" s="1"/>
  <c r="AA303" i="3"/>
  <c r="AC303" i="3"/>
  <c r="T303" i="3" l="1"/>
  <c r="U302" i="3"/>
  <c r="Y301" i="3"/>
  <c r="E303" i="3" l="1"/>
  <c r="H303" i="3" s="1"/>
  <c r="K303" i="3" s="1"/>
  <c r="AE303" i="3" s="1"/>
  <c r="D303" i="3"/>
  <c r="G303" i="3" s="1"/>
  <c r="AH303" i="3"/>
  <c r="AG303" i="3"/>
  <c r="F303" i="3" l="1"/>
  <c r="I303" i="3"/>
  <c r="J303" i="3"/>
  <c r="M303" i="3"/>
  <c r="N303" i="3" s="1"/>
  <c r="V303" i="3"/>
  <c r="A304" i="3"/>
  <c r="B304" i="3" s="1"/>
  <c r="W303" i="3" l="1"/>
  <c r="L303" i="3"/>
  <c r="Z304" i="3"/>
  <c r="P304" i="3"/>
  <c r="Q304" i="3" s="1"/>
  <c r="R304" i="3" s="1"/>
  <c r="S304" i="3" s="1"/>
  <c r="AC304" i="3"/>
  <c r="AA304" i="3"/>
  <c r="U303" i="3" l="1"/>
  <c r="Y302" i="3"/>
  <c r="T304" i="3"/>
  <c r="AH304" i="3" s="1"/>
  <c r="AG304" i="3" l="1"/>
  <c r="D304" i="3"/>
  <c r="G304" i="3" s="1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L304" i="3"/>
  <c r="Z305" i="3"/>
  <c r="AA305" i="3"/>
  <c r="P305" i="3"/>
  <c r="Q305" i="3" s="1"/>
  <c r="R305" i="3" s="1"/>
  <c r="S305" i="3" s="1"/>
  <c r="AC305" i="3"/>
  <c r="AD305" i="3"/>
  <c r="U304" i="3" l="1"/>
  <c r="Y303" i="3"/>
  <c r="T305" i="3"/>
  <c r="AG305" i="3" s="1"/>
  <c r="AH305" i="3" l="1"/>
  <c r="E305" i="3"/>
  <c r="H305" i="3" s="1"/>
  <c r="K305" i="3" s="1"/>
  <c r="AE305" i="3" s="1"/>
  <c r="D305" i="3"/>
  <c r="V305" i="3" l="1"/>
  <c r="A306" i="3"/>
  <c r="B306" i="3" s="1"/>
  <c r="F305" i="3"/>
  <c r="G305" i="3"/>
  <c r="I305" i="3" l="1"/>
  <c r="W305" i="3" s="1"/>
  <c r="J305" i="3"/>
  <c r="M305" i="3"/>
  <c r="N305" i="3" s="1"/>
  <c r="AA306" i="3"/>
  <c r="Z306" i="3"/>
  <c r="P306" i="3"/>
  <c r="Q306" i="3" s="1"/>
  <c r="R306" i="3" s="1"/>
  <c r="S306" i="3" s="1"/>
  <c r="AC306" i="3"/>
  <c r="AD306" i="3"/>
  <c r="T306" i="3" l="1"/>
  <c r="L305" i="3"/>
  <c r="U305" i="3" l="1"/>
  <c r="E306" i="3" s="1"/>
  <c r="H306" i="3" s="1"/>
  <c r="AH306" i="3"/>
  <c r="AG306" i="3"/>
  <c r="Y304" i="3"/>
  <c r="D306" i="3" l="1"/>
  <c r="G306" i="3" s="1"/>
  <c r="K306" i="3"/>
  <c r="AE306" i="3" s="1"/>
  <c r="F306" i="3" l="1"/>
  <c r="I306" i="3"/>
  <c r="J306" i="3"/>
  <c r="M306" i="3"/>
  <c r="N306" i="3" s="1"/>
  <c r="V306" i="3"/>
  <c r="A307" i="3"/>
  <c r="B307" i="3" s="1"/>
  <c r="W306" i="3" l="1"/>
  <c r="L306" i="3"/>
  <c r="AC307" i="3"/>
  <c r="P307" i="3"/>
  <c r="Q307" i="3" s="1"/>
  <c r="R307" i="3" s="1"/>
  <c r="S307" i="3" s="1"/>
  <c r="AA307" i="3"/>
  <c r="Z307" i="3"/>
  <c r="T307" i="3" l="1"/>
  <c r="AH307" i="3" s="1"/>
  <c r="U306" i="3"/>
  <c r="Y305" i="3"/>
  <c r="D307" i="3" l="1"/>
  <c r="E307" i="3"/>
  <c r="H307" i="3" s="1"/>
  <c r="AG307" i="3"/>
  <c r="F307" i="3" l="1"/>
  <c r="G307" i="3"/>
  <c r="K307" i="3"/>
  <c r="AE307" i="3" s="1"/>
  <c r="I307" i="3" l="1"/>
  <c r="J307" i="3"/>
  <c r="AD307" i="3" s="1"/>
  <c r="M307" i="3"/>
  <c r="N307" i="3" s="1"/>
  <c r="V307" i="3"/>
  <c r="A308" i="3"/>
  <c r="B308" i="3" s="1"/>
  <c r="L307" i="3" l="1"/>
  <c r="Z308" i="3"/>
  <c r="AA308" i="3"/>
  <c r="P308" i="3"/>
  <c r="Q308" i="3" s="1"/>
  <c r="R308" i="3" s="1"/>
  <c r="S308" i="3" s="1"/>
  <c r="AC308" i="3"/>
  <c r="W307" i="3"/>
  <c r="T308" i="3" l="1"/>
  <c r="U307" i="3"/>
  <c r="Y306" i="3"/>
  <c r="E308" i="3" l="1"/>
  <c r="H308" i="3" s="1"/>
  <c r="K308" i="3" s="1"/>
  <c r="AE308" i="3" s="1"/>
  <c r="AH308" i="3"/>
  <c r="AG308" i="3"/>
  <c r="D308" i="3"/>
  <c r="F308" i="3" l="1"/>
  <c r="G308" i="3"/>
  <c r="V308" i="3"/>
  <c r="A309" i="3"/>
  <c r="B309" i="3" s="1"/>
  <c r="I308" i="3" l="1"/>
  <c r="W308" i="3" s="1"/>
  <c r="J308" i="3"/>
  <c r="AD308" i="3" s="1"/>
  <c r="M308" i="3"/>
  <c r="N308" i="3" s="1"/>
  <c r="AC309" i="3"/>
  <c r="AD309" i="3"/>
  <c r="P309" i="3"/>
  <c r="Q309" i="3" s="1"/>
  <c r="R309" i="3" s="1"/>
  <c r="S309" i="3" s="1"/>
  <c r="AA309" i="3"/>
  <c r="Z309" i="3"/>
  <c r="T309" i="3" l="1"/>
  <c r="L308" i="3"/>
  <c r="AG309" i="3" l="1"/>
  <c r="AH309" i="3"/>
  <c r="U308" i="3"/>
  <c r="E309" i="3" s="1"/>
  <c r="H309" i="3" s="1"/>
  <c r="Y307" i="3"/>
  <c r="D309" i="3" l="1"/>
  <c r="G309" i="3" s="1"/>
  <c r="K309" i="3"/>
  <c r="AE309" i="3" s="1"/>
  <c r="F309" i="3" l="1"/>
  <c r="V309" i="3"/>
  <c r="A310" i="3"/>
  <c r="B310" i="3" s="1"/>
  <c r="I309" i="3"/>
  <c r="J309" i="3"/>
  <c r="M309" i="3"/>
  <c r="N309" i="3" s="1"/>
  <c r="W309" i="3" l="1"/>
  <c r="L309" i="3"/>
  <c r="AC310" i="3"/>
  <c r="AD310" i="3"/>
  <c r="Z310" i="3"/>
  <c r="AA310" i="3"/>
  <c r="P310" i="3"/>
  <c r="Q310" i="3" s="1"/>
  <c r="R310" i="3" s="1"/>
  <c r="S310" i="3" s="1"/>
  <c r="T310" i="3" l="1"/>
  <c r="AH310" i="3" s="1"/>
  <c r="U309" i="3"/>
  <c r="Y308" i="3"/>
  <c r="AG310" i="3" l="1"/>
  <c r="E310" i="3"/>
  <c r="H310" i="3" s="1"/>
  <c r="D310" i="3"/>
  <c r="K310" i="3" l="1"/>
  <c r="AE310" i="3" s="1"/>
  <c r="F310" i="3"/>
  <c r="G310" i="3"/>
  <c r="I310" i="3" l="1"/>
  <c r="J310" i="3"/>
  <c r="M310" i="3"/>
  <c r="N310" i="3" s="1"/>
  <c r="V310" i="3"/>
  <c r="A311" i="3"/>
  <c r="B311" i="3" s="1"/>
  <c r="W310" i="3" l="1"/>
  <c r="L310" i="3"/>
  <c r="AA311" i="3"/>
  <c r="Z311" i="3"/>
  <c r="P311" i="3"/>
  <c r="Q311" i="3" s="1"/>
  <c r="R311" i="3" s="1"/>
  <c r="S311" i="3" s="1"/>
  <c r="AC311" i="3"/>
  <c r="T311" i="3" l="1"/>
  <c r="AH311" i="3" s="1"/>
  <c r="U310" i="3"/>
  <c r="Y309" i="3"/>
  <c r="D311" i="3" l="1"/>
  <c r="G311" i="3" s="1"/>
  <c r="E311" i="3"/>
  <c r="H311" i="3" s="1"/>
  <c r="AG311" i="3"/>
  <c r="I311" i="3" l="1"/>
  <c r="J311" i="3"/>
  <c r="AD311" i="3" s="1"/>
  <c r="M311" i="3"/>
  <c r="N311" i="3" s="1"/>
  <c r="K311" i="3"/>
  <c r="AE311" i="3" s="1"/>
  <c r="F311" i="3"/>
  <c r="V311" i="3" l="1"/>
  <c r="W311" i="3" s="1"/>
  <c r="A312" i="3"/>
  <c r="B312" i="3" s="1"/>
  <c r="L311" i="3"/>
  <c r="U311" i="3" l="1"/>
  <c r="Y310" i="3"/>
  <c r="AA312" i="3"/>
  <c r="Z312" i="3"/>
  <c r="AD312" i="3"/>
  <c r="P312" i="3"/>
  <c r="Q312" i="3" s="1"/>
  <c r="R312" i="3" s="1"/>
  <c r="S312" i="3" s="1"/>
  <c r="AC312" i="3"/>
  <c r="T312" i="3" l="1"/>
  <c r="AG312" i="3" s="1"/>
  <c r="E312" i="3" l="1"/>
  <c r="H312" i="3" s="1"/>
  <c r="K312" i="3" s="1"/>
  <c r="AE312" i="3" s="1"/>
  <c r="D312" i="3"/>
  <c r="AH312" i="3"/>
  <c r="V312" i="3" l="1"/>
  <c r="A313" i="3"/>
  <c r="B313" i="3" s="1"/>
  <c r="F312" i="3"/>
  <c r="G312" i="3"/>
  <c r="I312" i="3" l="1"/>
  <c r="W312" i="3" s="1"/>
  <c r="J312" i="3"/>
  <c r="M312" i="3"/>
  <c r="N312" i="3" s="1"/>
  <c r="Z313" i="3"/>
  <c r="AC313" i="3"/>
  <c r="P313" i="3"/>
  <c r="Q313" i="3" s="1"/>
  <c r="R313" i="3" s="1"/>
  <c r="S313" i="3" s="1"/>
  <c r="AD313" i="3"/>
  <c r="AA313" i="3"/>
  <c r="T313" i="3" l="1"/>
  <c r="L312" i="3"/>
  <c r="AG313" i="3" l="1"/>
  <c r="AH313" i="3"/>
  <c r="U312" i="3"/>
  <c r="D313" i="3" s="1"/>
  <c r="Y311" i="3"/>
  <c r="E313" i="3" l="1"/>
  <c r="H313" i="3" s="1"/>
  <c r="K313" i="3" s="1"/>
  <c r="AE313" i="3" s="1"/>
  <c r="G313" i="3"/>
  <c r="F313" i="3" l="1"/>
  <c r="I313" i="3"/>
  <c r="J313" i="3"/>
  <c r="M313" i="3"/>
  <c r="N313" i="3" s="1"/>
  <c r="V313" i="3"/>
  <c r="A314" i="3"/>
  <c r="B314" i="3" s="1"/>
  <c r="Z314" i="3" l="1"/>
  <c r="AC314" i="3"/>
  <c r="AA314" i="3"/>
  <c r="P314" i="3"/>
  <c r="Q314" i="3" s="1"/>
  <c r="R314" i="3" s="1"/>
  <c r="S314" i="3" s="1"/>
  <c r="L313" i="3"/>
  <c r="W313" i="3"/>
  <c r="U313" i="3" l="1"/>
  <c r="Y312" i="3"/>
  <c r="T314" i="3"/>
  <c r="D314" i="3" l="1"/>
  <c r="G314" i="3" s="1"/>
  <c r="AG314" i="3"/>
  <c r="AH314" i="3"/>
  <c r="E314" i="3"/>
  <c r="H314" i="3" s="1"/>
  <c r="F314" i="3" l="1"/>
  <c r="I314" i="3"/>
  <c r="J314" i="3"/>
  <c r="AD314" i="3" s="1"/>
  <c r="M314" i="3"/>
  <c r="N314" i="3" s="1"/>
  <c r="K314" i="3"/>
  <c r="AE314" i="3" s="1"/>
  <c r="V314" i="3" l="1"/>
  <c r="W314" i="3" s="1"/>
  <c r="A315" i="3"/>
  <c r="B315" i="3" s="1"/>
  <c r="L314" i="3"/>
  <c r="U314" i="3" l="1"/>
  <c r="Y313" i="3"/>
  <c r="Z315" i="3"/>
  <c r="P315" i="3"/>
  <c r="Q315" i="3" s="1"/>
  <c r="R315" i="3" s="1"/>
  <c r="S315" i="3" s="1"/>
  <c r="AA315" i="3"/>
  <c r="AC315" i="3"/>
  <c r="T315" i="3" l="1"/>
  <c r="D315" i="3" s="1"/>
  <c r="AH315" i="3" l="1"/>
  <c r="AG315" i="3"/>
  <c r="E315" i="3"/>
  <c r="H315" i="3" s="1"/>
  <c r="K315" i="3" s="1"/>
  <c r="AE315" i="3" s="1"/>
  <c r="G315" i="3"/>
  <c r="F315" i="3" l="1"/>
  <c r="I315" i="3"/>
  <c r="J315" i="3"/>
  <c r="AD315" i="3" s="1"/>
  <c r="M315" i="3"/>
  <c r="N315" i="3" s="1"/>
  <c r="V315" i="3"/>
  <c r="A316" i="3"/>
  <c r="B316" i="3" s="1"/>
  <c r="W315" i="3" l="1"/>
  <c r="L315" i="3"/>
  <c r="Z316" i="3"/>
  <c r="AC316" i="3"/>
  <c r="P316" i="3"/>
  <c r="Q316" i="3" s="1"/>
  <c r="R316" i="3" s="1"/>
  <c r="S316" i="3" s="1"/>
  <c r="AA316" i="3"/>
  <c r="U315" i="3" l="1"/>
  <c r="Y314" i="3"/>
  <c r="T316" i="3"/>
  <c r="AG316" i="3" s="1"/>
  <c r="D316" i="3" l="1"/>
  <c r="AH316" i="3"/>
  <c r="E316" i="3"/>
  <c r="H316" i="3" s="1"/>
  <c r="F316" i="3" l="1"/>
  <c r="G316" i="3"/>
  <c r="K316" i="3"/>
  <c r="AE316" i="3" s="1"/>
  <c r="V316" i="3" l="1"/>
  <c r="A317" i="3"/>
  <c r="B317" i="3" s="1"/>
  <c r="I316" i="3"/>
  <c r="J316" i="3"/>
  <c r="AD316" i="3" s="1"/>
  <c r="M316" i="3"/>
  <c r="N316" i="3" s="1"/>
  <c r="W316" i="3" l="1"/>
  <c r="L316" i="3"/>
  <c r="Z317" i="3"/>
  <c r="AA317" i="3"/>
  <c r="P317" i="3"/>
  <c r="Q317" i="3" s="1"/>
  <c r="R317" i="3" s="1"/>
  <c r="S317" i="3" s="1"/>
  <c r="AC317" i="3"/>
  <c r="T317" i="3" l="1"/>
  <c r="AG317" i="3" s="1"/>
  <c r="U316" i="3"/>
  <c r="Y315" i="3"/>
  <c r="E317" i="3" l="1"/>
  <c r="H317" i="3" s="1"/>
  <c r="K317" i="3" s="1"/>
  <c r="AE317" i="3" s="1"/>
  <c r="D317" i="3"/>
  <c r="AH317" i="3"/>
  <c r="V317" i="3" l="1"/>
  <c r="A318" i="3"/>
  <c r="B318" i="3" s="1"/>
  <c r="F317" i="3"/>
  <c r="G317" i="3"/>
  <c r="I317" i="3" l="1"/>
  <c r="W317" i="3" s="1"/>
  <c r="J317" i="3"/>
  <c r="AD317" i="3" s="1"/>
  <c r="M317" i="3"/>
  <c r="N317" i="3" s="1"/>
  <c r="AA318" i="3"/>
  <c r="P318" i="3"/>
  <c r="Q318" i="3" s="1"/>
  <c r="R318" i="3" s="1"/>
  <c r="S318" i="3" s="1"/>
  <c r="Z318" i="3"/>
  <c r="AC318" i="3"/>
  <c r="T318" i="3" l="1"/>
  <c r="L317" i="3"/>
  <c r="AH318" i="3" l="1"/>
  <c r="AG318" i="3"/>
  <c r="U317" i="3"/>
  <c r="E318" i="3" s="1"/>
  <c r="H318" i="3" s="1"/>
  <c r="Y316" i="3"/>
  <c r="K318" i="3" l="1"/>
  <c r="AE318" i="3" s="1"/>
  <c r="D318" i="3"/>
  <c r="V318" i="3" l="1"/>
  <c r="A319" i="3"/>
  <c r="B319" i="3" s="1"/>
  <c r="F318" i="3"/>
  <c r="G318" i="3"/>
  <c r="I318" i="3" l="1"/>
  <c r="W318" i="3" s="1"/>
  <c r="J318" i="3"/>
  <c r="AD318" i="3" s="1"/>
  <c r="M318" i="3"/>
  <c r="N318" i="3" s="1"/>
  <c r="Z319" i="3"/>
  <c r="AC319" i="3"/>
  <c r="P319" i="3"/>
  <c r="Q319" i="3" s="1"/>
  <c r="R319" i="3" s="1"/>
  <c r="S319" i="3" s="1"/>
  <c r="AA319" i="3"/>
  <c r="T319" i="3" l="1"/>
  <c r="L318" i="3"/>
  <c r="U318" i="3" l="1"/>
  <c r="E319" i="3" s="1"/>
  <c r="H319" i="3" s="1"/>
  <c r="AH319" i="3"/>
  <c r="AG319" i="3"/>
  <c r="Y317" i="3"/>
  <c r="D319" i="3" l="1"/>
  <c r="G319" i="3" s="1"/>
  <c r="K319" i="3"/>
  <c r="AE319" i="3" s="1"/>
  <c r="F319" i="3" l="1"/>
  <c r="V319" i="3"/>
  <c r="A320" i="3"/>
  <c r="B320" i="3" s="1"/>
  <c r="I319" i="3"/>
  <c r="J319" i="3"/>
  <c r="AD319" i="3" s="1"/>
  <c r="M319" i="3"/>
  <c r="N319" i="3" s="1"/>
  <c r="L319" i="3" l="1"/>
  <c r="W319" i="3"/>
  <c r="AA320" i="3"/>
  <c r="AC320" i="3"/>
  <c r="P320" i="3"/>
  <c r="Q320" i="3" s="1"/>
  <c r="R320" i="3" s="1"/>
  <c r="S320" i="3" s="1"/>
  <c r="Z320" i="3"/>
  <c r="U319" i="3" l="1"/>
  <c r="Y318" i="3"/>
  <c r="T320" i="3"/>
  <c r="AH320" i="3" s="1"/>
  <c r="D320" i="3" l="1"/>
  <c r="AG320" i="3"/>
  <c r="E320" i="3"/>
  <c r="H320" i="3" s="1"/>
  <c r="F320" i="3" l="1"/>
  <c r="G320" i="3"/>
  <c r="K320" i="3"/>
  <c r="AE320" i="3" s="1"/>
  <c r="I320" i="3" l="1"/>
  <c r="J320" i="3"/>
  <c r="AD320" i="3" s="1"/>
  <c r="M320" i="3"/>
  <c r="N320" i="3" s="1"/>
  <c r="V320" i="3"/>
  <c r="A321" i="3"/>
  <c r="B321" i="3" s="1"/>
  <c r="W320" i="3" l="1"/>
  <c r="L320" i="3"/>
  <c r="AC321" i="3"/>
  <c r="AA321" i="3"/>
  <c r="Z321" i="3"/>
  <c r="P321" i="3"/>
  <c r="Q321" i="3" s="1"/>
  <c r="R321" i="3" s="1"/>
  <c r="S321" i="3" s="1"/>
  <c r="U320" i="3" l="1"/>
  <c r="Y319" i="3"/>
  <c r="T321" i="3"/>
  <c r="D321" i="3" l="1"/>
  <c r="G321" i="3" s="1"/>
  <c r="AH321" i="3"/>
  <c r="E321" i="3"/>
  <c r="H321" i="3" s="1"/>
  <c r="AG321" i="3"/>
  <c r="F321" i="3" l="1"/>
  <c r="I321" i="3"/>
  <c r="J321" i="3"/>
  <c r="AD321" i="3" s="1"/>
  <c r="M321" i="3"/>
  <c r="N321" i="3" s="1"/>
  <c r="K321" i="3"/>
  <c r="AE321" i="3" s="1"/>
  <c r="V321" i="3" l="1"/>
  <c r="W321" i="3" s="1"/>
  <c r="A322" i="3"/>
  <c r="B322" i="3" s="1"/>
  <c r="L321" i="3"/>
  <c r="U321" i="3" l="1"/>
  <c r="Y320" i="3"/>
  <c r="P322" i="3"/>
  <c r="Q322" i="3" s="1"/>
  <c r="R322" i="3" s="1"/>
  <c r="S322" i="3" s="1"/>
  <c r="Z322" i="3"/>
  <c r="AC322" i="3"/>
  <c r="AA322" i="3"/>
  <c r="T322" i="3" l="1"/>
  <c r="AH322" i="3" s="1"/>
  <c r="E322" i="3" l="1"/>
  <c r="H322" i="3" s="1"/>
  <c r="K322" i="3" s="1"/>
  <c r="AE322" i="3" s="1"/>
  <c r="AG322" i="3"/>
  <c r="D322" i="3"/>
  <c r="V322" i="3" l="1"/>
  <c r="A323" i="3"/>
  <c r="B323" i="3" s="1"/>
  <c r="F322" i="3"/>
  <c r="G322" i="3"/>
  <c r="I322" i="3" l="1"/>
  <c r="W322" i="3" s="1"/>
  <c r="J322" i="3"/>
  <c r="AD322" i="3" s="1"/>
  <c r="M322" i="3"/>
  <c r="N322" i="3" s="1"/>
  <c r="P323" i="3"/>
  <c r="Q323" i="3" s="1"/>
  <c r="R323" i="3" s="1"/>
  <c r="S323" i="3" s="1"/>
  <c r="AA323" i="3"/>
  <c r="Z323" i="3"/>
  <c r="AC323" i="3"/>
  <c r="T323" i="3" l="1"/>
  <c r="L322" i="3"/>
  <c r="AH323" i="3" l="1"/>
  <c r="U322" i="3"/>
  <c r="D323" i="3" s="1"/>
  <c r="AG323" i="3"/>
  <c r="Y321" i="3"/>
  <c r="G323" i="3" l="1"/>
  <c r="E323" i="3"/>
  <c r="H323" i="3" s="1"/>
  <c r="F323" i="3" l="1"/>
  <c r="K323" i="3"/>
  <c r="AE323" i="3" s="1"/>
  <c r="I323" i="3"/>
  <c r="J323" i="3"/>
  <c r="AD323" i="3" s="1"/>
  <c r="M323" i="3"/>
  <c r="N323" i="3" s="1"/>
  <c r="L323" i="3" l="1"/>
  <c r="V323" i="3"/>
  <c r="W323" i="3" s="1"/>
  <c r="A324" i="3"/>
  <c r="B324" i="3" s="1"/>
  <c r="U323" i="3" l="1"/>
  <c r="Y322" i="3"/>
  <c r="Z324" i="3"/>
  <c r="P324" i="3"/>
  <c r="Q324" i="3" s="1"/>
  <c r="R324" i="3" s="1"/>
  <c r="S324" i="3" s="1"/>
  <c r="AA324" i="3"/>
  <c r="AC324" i="3"/>
  <c r="T324" i="3" l="1"/>
  <c r="AG324" i="3" s="1"/>
  <c r="E324" i="3" l="1"/>
  <c r="H324" i="3" s="1"/>
  <c r="K324" i="3" s="1"/>
  <c r="AE324" i="3" s="1"/>
  <c r="AH324" i="3"/>
  <c r="D324" i="3"/>
  <c r="V324" i="3" l="1"/>
  <c r="A325" i="3"/>
  <c r="B325" i="3" s="1"/>
  <c r="F324" i="3"/>
  <c r="G324" i="3"/>
  <c r="I324" i="3" l="1"/>
  <c r="W324" i="3" s="1"/>
  <c r="J324" i="3"/>
  <c r="AD324" i="3" s="1"/>
  <c r="M324" i="3"/>
  <c r="N324" i="3" s="1"/>
  <c r="P325" i="3"/>
  <c r="Q325" i="3" s="1"/>
  <c r="R325" i="3" s="1"/>
  <c r="S325" i="3" s="1"/>
  <c r="AC325" i="3"/>
  <c r="Z325" i="3"/>
  <c r="AA325" i="3"/>
  <c r="T325" i="3" l="1"/>
  <c r="L324" i="3"/>
  <c r="AG325" i="3" l="1"/>
  <c r="U324" i="3"/>
  <c r="D325" i="3" s="1"/>
  <c r="AH325" i="3"/>
  <c r="Y323" i="3"/>
  <c r="E325" i="3" l="1"/>
  <c r="H325" i="3" s="1"/>
  <c r="K325" i="3" s="1"/>
  <c r="AE325" i="3" s="1"/>
  <c r="G325" i="3"/>
  <c r="F325" i="3" l="1"/>
  <c r="V325" i="3"/>
  <c r="A326" i="3"/>
  <c r="B326" i="3" s="1"/>
  <c r="I325" i="3"/>
  <c r="J325" i="3"/>
  <c r="AD325" i="3" s="1"/>
  <c r="M325" i="3"/>
  <c r="N325" i="3" s="1"/>
  <c r="L325" i="3" l="1"/>
  <c r="W325" i="3"/>
  <c r="P326" i="3"/>
  <c r="Q326" i="3" s="1"/>
  <c r="R326" i="3" s="1"/>
  <c r="S326" i="3" s="1"/>
  <c r="AA326" i="3"/>
  <c r="AC326" i="3"/>
  <c r="Z326" i="3"/>
  <c r="U325" i="3" l="1"/>
  <c r="Y324" i="3"/>
  <c r="T326" i="3"/>
  <c r="AH326" i="3" s="1"/>
  <c r="E326" i="3" l="1"/>
  <c r="H326" i="3" s="1"/>
  <c r="K326" i="3" s="1"/>
  <c r="AE326" i="3" s="1"/>
  <c r="AG326" i="3"/>
  <c r="D326" i="3"/>
  <c r="G326" i="3" s="1"/>
  <c r="F326" i="3" l="1"/>
  <c r="I326" i="3"/>
  <c r="J326" i="3"/>
  <c r="AD326" i="3" s="1"/>
  <c r="M326" i="3"/>
  <c r="N326" i="3" s="1"/>
  <c r="V326" i="3"/>
  <c r="A327" i="3"/>
  <c r="B327" i="3" s="1"/>
  <c r="W326" i="3" l="1"/>
  <c r="L326" i="3"/>
  <c r="Z327" i="3"/>
  <c r="AA327" i="3"/>
  <c r="P327" i="3"/>
  <c r="Q327" i="3" s="1"/>
  <c r="R327" i="3" s="1"/>
  <c r="S327" i="3" s="1"/>
  <c r="AC327" i="3"/>
  <c r="U326" i="3" l="1"/>
  <c r="Y325" i="3"/>
  <c r="T327" i="3"/>
  <c r="AH327" i="3" s="1"/>
  <c r="E327" i="3" l="1"/>
  <c r="H327" i="3" s="1"/>
  <c r="K327" i="3" s="1"/>
  <c r="AE327" i="3" s="1"/>
  <c r="D327" i="3"/>
  <c r="AG327" i="3"/>
  <c r="F327" i="3" l="1"/>
  <c r="G327" i="3"/>
  <c r="M327" i="3" s="1"/>
  <c r="N327" i="3" s="1"/>
  <c r="V327" i="3"/>
  <c r="A328" i="3"/>
  <c r="B328" i="3" s="1"/>
  <c r="I327" i="3" l="1"/>
  <c r="W327" i="3" s="1"/>
  <c r="J327" i="3"/>
  <c r="Z328" i="3"/>
  <c r="P328" i="3"/>
  <c r="Q328" i="3" s="1"/>
  <c r="R328" i="3" s="1"/>
  <c r="S328" i="3" s="1"/>
  <c r="AA328" i="3"/>
  <c r="AC328" i="3"/>
  <c r="L327" i="3" l="1"/>
  <c r="U327" i="3" s="1"/>
  <c r="AD327" i="3"/>
  <c r="T328" i="3"/>
  <c r="AG328" i="3" l="1"/>
  <c r="Y326" i="3"/>
  <c r="AH328" i="3"/>
  <c r="E328" i="3"/>
  <c r="H328" i="3" s="1"/>
  <c r="K328" i="3" s="1"/>
  <c r="AE328" i="3" s="1"/>
  <c r="D328" i="3"/>
  <c r="V328" i="3" l="1"/>
  <c r="A329" i="3"/>
  <c r="B329" i="3" s="1"/>
  <c r="F328" i="3"/>
  <c r="G328" i="3"/>
  <c r="I328" i="3" l="1"/>
  <c r="W328" i="3" s="1"/>
  <c r="J328" i="3"/>
  <c r="AD328" i="3" s="1"/>
  <c r="M328" i="3"/>
  <c r="N328" i="3" s="1"/>
  <c r="P329" i="3"/>
  <c r="Q329" i="3" s="1"/>
  <c r="R329" i="3" s="1"/>
  <c r="S329" i="3" s="1"/>
  <c r="Z329" i="3"/>
  <c r="AC329" i="3"/>
  <c r="AA329" i="3"/>
  <c r="T329" i="3" l="1"/>
  <c r="L328" i="3"/>
  <c r="AH329" i="3" l="1"/>
  <c r="U328" i="3"/>
  <c r="D329" i="3" s="1"/>
  <c r="AG329" i="3"/>
  <c r="Y327" i="3"/>
  <c r="E329" i="3" l="1"/>
  <c r="H329" i="3" s="1"/>
  <c r="K329" i="3" s="1"/>
  <c r="AE329" i="3" s="1"/>
  <c r="G329" i="3"/>
  <c r="F329" i="3" l="1"/>
  <c r="I329" i="3"/>
  <c r="J329" i="3"/>
  <c r="AD329" i="3" s="1"/>
  <c r="M329" i="3"/>
  <c r="N329" i="3" s="1"/>
  <c r="V329" i="3"/>
  <c r="A330" i="3"/>
  <c r="B330" i="3" s="1"/>
  <c r="W329" i="3" l="1"/>
  <c r="L329" i="3"/>
  <c r="AA330" i="3"/>
  <c r="AC330" i="3"/>
  <c r="P330" i="3"/>
  <c r="Q330" i="3" s="1"/>
  <c r="R330" i="3" s="1"/>
  <c r="S330" i="3" s="1"/>
  <c r="Z330" i="3"/>
  <c r="U329" i="3" l="1"/>
  <c r="Y328" i="3"/>
  <c r="T330" i="3"/>
  <c r="AH330" i="3" s="1"/>
  <c r="AG330" i="3" l="1"/>
  <c r="E330" i="3"/>
  <c r="H330" i="3" s="1"/>
  <c r="D330" i="3"/>
  <c r="K330" i="3" l="1"/>
  <c r="AE330" i="3" s="1"/>
  <c r="F330" i="3"/>
  <c r="G330" i="3"/>
  <c r="I330" i="3" l="1"/>
  <c r="J330" i="3"/>
  <c r="AD330" i="3" s="1"/>
  <c r="M330" i="3"/>
  <c r="N330" i="3" s="1"/>
  <c r="V330" i="3"/>
  <c r="A331" i="3"/>
  <c r="B331" i="3" s="1"/>
  <c r="W330" i="3" l="1"/>
  <c r="L330" i="3"/>
  <c r="P331" i="3"/>
  <c r="Q331" i="3" s="1"/>
  <c r="R331" i="3" s="1"/>
  <c r="S331" i="3" s="1"/>
  <c r="AA331" i="3"/>
  <c r="AC331" i="3"/>
  <c r="Z331" i="3"/>
  <c r="U330" i="3" l="1"/>
  <c r="Y329" i="3"/>
  <c r="T331" i="3"/>
  <c r="D331" i="3" l="1"/>
  <c r="G331" i="3" s="1"/>
  <c r="AH331" i="3"/>
  <c r="AG331" i="3"/>
  <c r="E331" i="3"/>
  <c r="H331" i="3" s="1"/>
  <c r="F331" i="3" l="1"/>
  <c r="I331" i="3"/>
  <c r="J331" i="3"/>
  <c r="AD331" i="3" s="1"/>
  <c r="M331" i="3"/>
  <c r="N331" i="3" s="1"/>
  <c r="K331" i="3"/>
  <c r="AE331" i="3" s="1"/>
  <c r="V331" i="3" l="1"/>
  <c r="W331" i="3" s="1"/>
  <c r="A332" i="3"/>
  <c r="B332" i="3" s="1"/>
  <c r="L331" i="3"/>
  <c r="U331" i="3" l="1"/>
  <c r="Y330" i="3"/>
  <c r="AA332" i="3"/>
  <c r="Z332" i="3"/>
  <c r="AC332" i="3"/>
  <c r="P332" i="3"/>
  <c r="Q332" i="3" s="1"/>
  <c r="R332" i="3" s="1"/>
  <c r="S332" i="3" s="1"/>
  <c r="T332" i="3" l="1"/>
  <c r="AG332" i="3" s="1"/>
  <c r="E332" i="3" l="1"/>
  <c r="H332" i="3" s="1"/>
  <c r="K332" i="3" s="1"/>
  <c r="AE332" i="3" s="1"/>
  <c r="D332" i="3"/>
  <c r="AH332" i="3"/>
  <c r="V332" i="3" l="1"/>
  <c r="A333" i="3"/>
  <c r="B333" i="3" s="1"/>
  <c r="F332" i="3"/>
  <c r="G332" i="3"/>
  <c r="I332" i="3" l="1"/>
  <c r="W332" i="3" s="1"/>
  <c r="J332" i="3"/>
  <c r="AD332" i="3" s="1"/>
  <c r="M332" i="3"/>
  <c r="N332" i="3" s="1"/>
  <c r="AA333" i="3"/>
  <c r="P333" i="3"/>
  <c r="Q333" i="3" s="1"/>
  <c r="R333" i="3" s="1"/>
  <c r="S333" i="3" s="1"/>
  <c r="Z333" i="3"/>
  <c r="AC333" i="3"/>
  <c r="T333" i="3" l="1"/>
  <c r="L332" i="3"/>
  <c r="AH333" i="3" l="1"/>
  <c r="AG333" i="3"/>
  <c r="U332" i="3"/>
  <c r="D333" i="3" s="1"/>
  <c r="Y331" i="3"/>
  <c r="E333" i="3" l="1"/>
  <c r="H333" i="3" s="1"/>
  <c r="K333" i="3" s="1"/>
  <c r="AE333" i="3" s="1"/>
  <c r="G333" i="3"/>
  <c r="F333" i="3" l="1"/>
  <c r="I333" i="3"/>
  <c r="J333" i="3"/>
  <c r="AD333" i="3" s="1"/>
  <c r="M333" i="3"/>
  <c r="N333" i="3" s="1"/>
  <c r="V333" i="3"/>
  <c r="A334" i="3"/>
  <c r="B334" i="3" s="1"/>
  <c r="W333" i="3" l="1"/>
  <c r="L333" i="3"/>
  <c r="AA334" i="3"/>
  <c r="P334" i="3"/>
  <c r="Q334" i="3" s="1"/>
  <c r="R334" i="3" s="1"/>
  <c r="S334" i="3" s="1"/>
  <c r="Z334" i="3"/>
  <c r="AC334" i="3"/>
  <c r="T334" i="3" l="1"/>
  <c r="AH334" i="3" s="1"/>
  <c r="U333" i="3"/>
  <c r="Y332" i="3"/>
  <c r="D334" i="3" l="1"/>
  <c r="G334" i="3" s="1"/>
  <c r="E334" i="3"/>
  <c r="H334" i="3" s="1"/>
  <c r="AG334" i="3"/>
  <c r="F334" i="3" l="1"/>
  <c r="I334" i="3"/>
  <c r="J334" i="3"/>
  <c r="AD334" i="3" s="1"/>
  <c r="M334" i="3"/>
  <c r="N334" i="3" s="1"/>
  <c r="K334" i="3"/>
  <c r="AE334" i="3" s="1"/>
  <c r="L334" i="3" l="1"/>
  <c r="V334" i="3"/>
  <c r="W334" i="3" s="1"/>
  <c r="A335" i="3"/>
  <c r="B335" i="3" s="1"/>
  <c r="U334" i="3" l="1"/>
  <c r="Y333" i="3"/>
  <c r="AC335" i="3"/>
  <c r="P335" i="3"/>
  <c r="Q335" i="3" s="1"/>
  <c r="R335" i="3" s="1"/>
  <c r="S335" i="3" s="1"/>
  <c r="AA335" i="3"/>
  <c r="Z335" i="3"/>
  <c r="T335" i="3" l="1"/>
  <c r="AG335" i="3" s="1"/>
  <c r="AH335" i="3" l="1"/>
  <c r="D335" i="3"/>
  <c r="E335" i="3"/>
  <c r="H335" i="3" s="1"/>
  <c r="F335" i="3" l="1"/>
  <c r="G335" i="3"/>
  <c r="K335" i="3"/>
  <c r="AE335" i="3" s="1"/>
  <c r="I335" i="3" l="1"/>
  <c r="J335" i="3"/>
  <c r="AD335" i="3" s="1"/>
  <c r="M335" i="3"/>
  <c r="N335" i="3" s="1"/>
  <c r="V335" i="3"/>
  <c r="A336" i="3"/>
  <c r="B336" i="3" s="1"/>
  <c r="W335" i="3" l="1"/>
  <c r="L335" i="3"/>
  <c r="AA336" i="3"/>
  <c r="P336" i="3"/>
  <c r="Q336" i="3" s="1"/>
  <c r="R336" i="3" s="1"/>
  <c r="S336" i="3" s="1"/>
  <c r="AC336" i="3"/>
  <c r="Z336" i="3"/>
  <c r="T336" i="3" l="1"/>
  <c r="AG336" i="3" s="1"/>
  <c r="U335" i="3"/>
  <c r="Y334" i="3"/>
  <c r="E336" i="3" l="1"/>
  <c r="H336" i="3" s="1"/>
  <c r="D336" i="3"/>
  <c r="AH336" i="3"/>
  <c r="K336" i="3" l="1"/>
  <c r="AE336" i="3" s="1"/>
  <c r="F336" i="3"/>
  <c r="G336" i="3"/>
  <c r="I336" i="3" l="1"/>
  <c r="J336" i="3"/>
  <c r="AD336" i="3" s="1"/>
  <c r="M336" i="3"/>
  <c r="N336" i="3" s="1"/>
  <c r="V336" i="3"/>
  <c r="A337" i="3"/>
  <c r="B337" i="3" s="1"/>
  <c r="W336" i="3" l="1"/>
  <c r="P337" i="3"/>
  <c r="Q337" i="3" s="1"/>
  <c r="R337" i="3" s="1"/>
  <c r="S337" i="3" s="1"/>
  <c r="AC337" i="3"/>
  <c r="AA337" i="3"/>
  <c r="Z337" i="3"/>
  <c r="L336" i="3"/>
  <c r="T337" i="3" l="1"/>
  <c r="U336" i="3"/>
  <c r="Y335" i="3"/>
  <c r="E337" i="3" l="1"/>
  <c r="H337" i="3" s="1"/>
  <c r="K337" i="3" s="1"/>
  <c r="AE337" i="3" s="1"/>
  <c r="AH337" i="3"/>
  <c r="AG337" i="3"/>
  <c r="D337" i="3"/>
  <c r="V337" i="3" l="1"/>
  <c r="A338" i="3"/>
  <c r="B338" i="3" s="1"/>
  <c r="F337" i="3"/>
  <c r="G337" i="3"/>
  <c r="I337" i="3" l="1"/>
  <c r="W337" i="3" s="1"/>
  <c r="J337" i="3"/>
  <c r="AD337" i="3" s="1"/>
  <c r="M337" i="3"/>
  <c r="N337" i="3" s="1"/>
  <c r="P338" i="3"/>
  <c r="Q338" i="3" s="1"/>
  <c r="R338" i="3" s="1"/>
  <c r="S338" i="3" s="1"/>
  <c r="Z338" i="3"/>
  <c r="AC338" i="3"/>
  <c r="AA338" i="3"/>
  <c r="T338" i="3" l="1"/>
  <c r="L337" i="3"/>
  <c r="AH338" i="3" l="1"/>
  <c r="U337" i="3"/>
  <c r="E338" i="3" s="1"/>
  <c r="H338" i="3" s="1"/>
  <c r="AG338" i="3"/>
  <c r="Y336" i="3"/>
  <c r="D338" i="3" l="1"/>
  <c r="F338" i="3" s="1"/>
  <c r="K338" i="3"/>
  <c r="AE338" i="3" s="1"/>
  <c r="G338" i="3" l="1"/>
  <c r="M338" i="3" s="1"/>
  <c r="N338" i="3" s="1"/>
  <c r="V338" i="3"/>
  <c r="A339" i="3"/>
  <c r="B339" i="3" s="1"/>
  <c r="I338" i="3" l="1"/>
  <c r="W338" i="3" s="1"/>
  <c r="J338" i="3"/>
  <c r="Z339" i="3"/>
  <c r="P339" i="3"/>
  <c r="Q339" i="3" s="1"/>
  <c r="R339" i="3" s="1"/>
  <c r="S339" i="3" s="1"/>
  <c r="AA339" i="3"/>
  <c r="AC339" i="3"/>
  <c r="L338" i="3" l="1"/>
  <c r="U338" i="3" s="1"/>
  <c r="AD338" i="3"/>
  <c r="T339" i="3"/>
  <c r="Y337" i="3" l="1"/>
  <c r="AG339" i="3"/>
  <c r="AH339" i="3"/>
  <c r="E339" i="3"/>
  <c r="H339" i="3" s="1"/>
  <c r="D339" i="3"/>
  <c r="K339" i="3" l="1"/>
  <c r="AE339" i="3" s="1"/>
  <c r="F339" i="3"/>
  <c r="G339" i="3"/>
  <c r="V339" i="3" l="1"/>
  <c r="A340" i="3"/>
  <c r="B340" i="3" s="1"/>
  <c r="I339" i="3"/>
  <c r="J339" i="3"/>
  <c r="AD339" i="3" s="1"/>
  <c r="M339" i="3"/>
  <c r="N339" i="3" s="1"/>
  <c r="W339" i="3" l="1"/>
  <c r="L339" i="3"/>
  <c r="Z340" i="3"/>
  <c r="P340" i="3"/>
  <c r="Q340" i="3" s="1"/>
  <c r="R340" i="3" s="1"/>
  <c r="S340" i="3" s="1"/>
  <c r="AC340" i="3"/>
  <c r="AA340" i="3"/>
  <c r="T340" i="3" l="1"/>
  <c r="U339" i="3"/>
  <c r="Y338" i="3"/>
  <c r="D340" i="3" l="1"/>
  <c r="G340" i="3" s="1"/>
  <c r="E340" i="3"/>
  <c r="H340" i="3" s="1"/>
  <c r="K340" i="3" s="1"/>
  <c r="AE340" i="3" s="1"/>
  <c r="AH340" i="3"/>
  <c r="AG340" i="3"/>
  <c r="F340" i="3" l="1"/>
  <c r="V340" i="3"/>
  <c r="A341" i="3"/>
  <c r="B341" i="3" s="1"/>
  <c r="I340" i="3"/>
  <c r="J340" i="3"/>
  <c r="AD340" i="3" s="1"/>
  <c r="M340" i="3"/>
  <c r="N340" i="3" s="1"/>
  <c r="W340" i="3" l="1"/>
  <c r="L340" i="3"/>
  <c r="Z341" i="3"/>
  <c r="P341" i="3"/>
  <c r="Q341" i="3" s="1"/>
  <c r="R341" i="3" s="1"/>
  <c r="S341" i="3" s="1"/>
  <c r="AA341" i="3"/>
  <c r="AC341" i="3"/>
  <c r="U340" i="3" l="1"/>
  <c r="Y339" i="3"/>
  <c r="T341" i="3"/>
  <c r="AG341" i="3" s="1"/>
  <c r="D341" i="3" l="1"/>
  <c r="AH341" i="3"/>
  <c r="E341" i="3"/>
  <c r="H341" i="3" s="1"/>
  <c r="F341" i="3" l="1"/>
  <c r="G341" i="3"/>
  <c r="K341" i="3"/>
  <c r="AE341" i="3" s="1"/>
  <c r="I341" i="3" l="1"/>
  <c r="J341" i="3"/>
  <c r="AD341" i="3" s="1"/>
  <c r="M341" i="3"/>
  <c r="N341" i="3" s="1"/>
  <c r="V341" i="3"/>
  <c r="A342" i="3"/>
  <c r="B342" i="3" s="1"/>
  <c r="L341" i="3" l="1"/>
  <c r="W341" i="3"/>
  <c r="Z342" i="3"/>
  <c r="P342" i="3"/>
  <c r="Q342" i="3" s="1"/>
  <c r="R342" i="3" s="1"/>
  <c r="S342" i="3" s="1"/>
  <c r="AA342" i="3"/>
  <c r="AC342" i="3"/>
  <c r="U341" i="3" l="1"/>
  <c r="Y340" i="3"/>
  <c r="T342" i="3"/>
  <c r="D342" i="3" l="1"/>
  <c r="G342" i="3" s="1"/>
  <c r="AH342" i="3"/>
  <c r="E342" i="3"/>
  <c r="H342" i="3" s="1"/>
  <c r="AG342" i="3"/>
  <c r="F342" i="3" l="1"/>
  <c r="I342" i="3"/>
  <c r="J342" i="3"/>
  <c r="AD342" i="3" s="1"/>
  <c r="M342" i="3"/>
  <c r="N342" i="3" s="1"/>
  <c r="K342" i="3"/>
  <c r="AE342" i="3" s="1"/>
  <c r="V342" i="3" l="1"/>
  <c r="W342" i="3" s="1"/>
  <c r="A343" i="3"/>
  <c r="B343" i="3" s="1"/>
  <c r="L342" i="3"/>
  <c r="U342" i="3" l="1"/>
  <c r="Y341" i="3"/>
  <c r="P343" i="3"/>
  <c r="Q343" i="3" s="1"/>
  <c r="R343" i="3" s="1"/>
  <c r="S343" i="3" s="1"/>
  <c r="AA343" i="3"/>
  <c r="Z343" i="3"/>
  <c r="AC343" i="3"/>
  <c r="T343" i="3" l="1"/>
  <c r="D343" i="3" s="1"/>
  <c r="E343" i="3" l="1"/>
  <c r="H343" i="3" s="1"/>
  <c r="K343" i="3" s="1"/>
  <c r="AE343" i="3" s="1"/>
  <c r="G343" i="3"/>
  <c r="AG343" i="3"/>
  <c r="AH343" i="3"/>
  <c r="F343" i="3" l="1"/>
  <c r="I343" i="3"/>
  <c r="J343" i="3"/>
  <c r="AD343" i="3" s="1"/>
  <c r="M343" i="3"/>
  <c r="N343" i="3" s="1"/>
  <c r="V343" i="3"/>
  <c r="A344" i="3"/>
  <c r="B344" i="3" s="1"/>
  <c r="W343" i="3" l="1"/>
  <c r="L343" i="3"/>
  <c r="AA344" i="3"/>
  <c r="Z344" i="3"/>
  <c r="P344" i="3"/>
  <c r="Q344" i="3" s="1"/>
  <c r="R344" i="3" s="1"/>
  <c r="S344" i="3" s="1"/>
  <c r="AC344" i="3"/>
  <c r="U343" i="3" l="1"/>
  <c r="Y342" i="3"/>
  <c r="T344" i="3"/>
  <c r="AH344" i="3" s="1"/>
  <c r="AG344" i="3" l="1"/>
  <c r="E344" i="3"/>
  <c r="H344" i="3" s="1"/>
  <c r="D344" i="3"/>
  <c r="F344" i="3" l="1"/>
  <c r="G344" i="3"/>
  <c r="K344" i="3"/>
  <c r="AE344" i="3" s="1"/>
  <c r="I344" i="3" l="1"/>
  <c r="J344" i="3"/>
  <c r="AD344" i="3" s="1"/>
  <c r="M344" i="3"/>
  <c r="N344" i="3" s="1"/>
  <c r="V344" i="3"/>
  <c r="A345" i="3"/>
  <c r="B345" i="3" s="1"/>
  <c r="W344" i="3" l="1"/>
  <c r="P345" i="3"/>
  <c r="Q345" i="3" s="1"/>
  <c r="R345" i="3" s="1"/>
  <c r="S345" i="3" s="1"/>
  <c r="Z345" i="3"/>
  <c r="AC345" i="3"/>
  <c r="AD345" i="3"/>
  <c r="AA345" i="3"/>
  <c r="L344" i="3"/>
  <c r="T345" i="3" l="1"/>
  <c r="U344" i="3"/>
  <c r="Y343" i="3"/>
  <c r="E345" i="3" l="1"/>
  <c r="H345" i="3" s="1"/>
  <c r="K345" i="3" s="1"/>
  <c r="AE345" i="3" s="1"/>
  <c r="AH345" i="3"/>
  <c r="D345" i="3"/>
  <c r="AG345" i="3"/>
  <c r="F345" i="3" l="1"/>
  <c r="G345" i="3"/>
  <c r="V345" i="3"/>
  <c r="A346" i="3"/>
  <c r="B346" i="3" s="1"/>
  <c r="AD346" i="3" l="1"/>
  <c r="AC346" i="3"/>
  <c r="P346" i="3"/>
  <c r="Q346" i="3" s="1"/>
  <c r="R346" i="3" s="1"/>
  <c r="S346" i="3" s="1"/>
  <c r="AA346" i="3"/>
  <c r="Z346" i="3"/>
  <c r="I345" i="3"/>
  <c r="W345" i="3" s="1"/>
  <c r="J345" i="3"/>
  <c r="M345" i="3"/>
  <c r="N345" i="3" s="1"/>
  <c r="L345" i="3" l="1"/>
  <c r="T346" i="3"/>
  <c r="AH346" i="3" l="1"/>
  <c r="AG346" i="3"/>
  <c r="U345" i="3"/>
  <c r="D346" i="3" s="1"/>
  <c r="Y344" i="3"/>
  <c r="G346" i="3" l="1"/>
  <c r="E346" i="3"/>
  <c r="H346" i="3" s="1"/>
  <c r="F346" i="3" l="1"/>
  <c r="I346" i="3"/>
  <c r="J346" i="3"/>
  <c r="M346" i="3"/>
  <c r="N346" i="3" s="1"/>
  <c r="K346" i="3"/>
  <c r="AE346" i="3" s="1"/>
  <c r="V346" i="3" l="1"/>
  <c r="W346" i="3" s="1"/>
  <c r="A347" i="3"/>
  <c r="B347" i="3" s="1"/>
  <c r="L346" i="3"/>
  <c r="U346" i="3" l="1"/>
  <c r="Y345" i="3"/>
  <c r="AC347" i="3"/>
  <c r="Z347" i="3"/>
  <c r="AA347" i="3"/>
  <c r="P347" i="3"/>
  <c r="Q347" i="3" s="1"/>
  <c r="R347" i="3" s="1"/>
  <c r="S347" i="3" s="1"/>
  <c r="T347" i="3" l="1"/>
  <c r="E347" i="3" s="1"/>
  <c r="H347" i="3" s="1"/>
  <c r="K347" i="3" l="1"/>
  <c r="AE347" i="3" s="1"/>
  <c r="AH347" i="3"/>
  <c r="AG347" i="3"/>
  <c r="D347" i="3"/>
  <c r="F347" i="3" l="1"/>
  <c r="G347" i="3"/>
  <c r="V347" i="3"/>
  <c r="A348" i="3"/>
  <c r="B348" i="3" s="1"/>
  <c r="I347" i="3" l="1"/>
  <c r="W347" i="3" s="1"/>
  <c r="J347" i="3"/>
  <c r="AD347" i="3" s="1"/>
  <c r="M347" i="3"/>
  <c r="N347" i="3" s="1"/>
  <c r="AC348" i="3"/>
  <c r="AA348" i="3"/>
  <c r="P348" i="3"/>
  <c r="Q348" i="3" s="1"/>
  <c r="R348" i="3" s="1"/>
  <c r="S348" i="3" s="1"/>
  <c r="Z348" i="3"/>
  <c r="L347" i="3" l="1"/>
  <c r="T348" i="3"/>
  <c r="U347" i="3" l="1"/>
  <c r="D348" i="3" s="1"/>
  <c r="AH348" i="3"/>
  <c r="AG348" i="3"/>
  <c r="Y346" i="3"/>
  <c r="E348" i="3" l="1"/>
  <c r="H348" i="3" s="1"/>
  <c r="K348" i="3" s="1"/>
  <c r="AE348" i="3" s="1"/>
  <c r="G348" i="3"/>
  <c r="F348" i="3" l="1"/>
  <c r="I348" i="3"/>
  <c r="J348" i="3"/>
  <c r="AD348" i="3" s="1"/>
  <c r="M348" i="3"/>
  <c r="N348" i="3" s="1"/>
  <c r="V348" i="3"/>
  <c r="A349" i="3"/>
  <c r="B349" i="3" s="1"/>
  <c r="W348" i="3" l="1"/>
  <c r="L348" i="3"/>
  <c r="AC349" i="3"/>
  <c r="P349" i="3"/>
  <c r="Q349" i="3" s="1"/>
  <c r="R349" i="3" s="1"/>
  <c r="S349" i="3" s="1"/>
  <c r="AA349" i="3"/>
  <c r="Z349" i="3"/>
  <c r="AD349" i="3"/>
  <c r="U348" i="3" l="1"/>
  <c r="Y347" i="3"/>
  <c r="T349" i="3"/>
  <c r="AG349" i="3" s="1"/>
  <c r="E349" i="3" l="1"/>
  <c r="H349" i="3" s="1"/>
  <c r="K349" i="3" s="1"/>
  <c r="AE349" i="3" s="1"/>
  <c r="D349" i="3"/>
  <c r="AH349" i="3"/>
  <c r="V349" i="3" l="1"/>
  <c r="A350" i="3"/>
  <c r="B350" i="3" s="1"/>
  <c r="F349" i="3"/>
  <c r="G349" i="3"/>
  <c r="I349" i="3" l="1"/>
  <c r="W349" i="3" s="1"/>
  <c r="J349" i="3"/>
  <c r="M349" i="3"/>
  <c r="N349" i="3" s="1"/>
  <c r="AD350" i="3"/>
  <c r="P350" i="3"/>
  <c r="Q350" i="3" s="1"/>
  <c r="R350" i="3" s="1"/>
  <c r="S350" i="3" s="1"/>
  <c r="Z350" i="3"/>
  <c r="AC350" i="3"/>
  <c r="AA350" i="3"/>
  <c r="T350" i="3" l="1"/>
  <c r="L349" i="3"/>
  <c r="U349" i="3" l="1"/>
  <c r="D350" i="3" s="1"/>
  <c r="AG350" i="3"/>
  <c r="AH350" i="3"/>
  <c r="Y348" i="3"/>
  <c r="E350" i="3" l="1"/>
  <c r="H350" i="3" s="1"/>
  <c r="K350" i="3" s="1"/>
  <c r="AE350" i="3" s="1"/>
  <c r="G350" i="3"/>
  <c r="F350" i="3" l="1"/>
  <c r="V350" i="3"/>
  <c r="A351" i="3"/>
  <c r="B351" i="3" s="1"/>
  <c r="I350" i="3"/>
  <c r="J350" i="3"/>
  <c r="M350" i="3"/>
  <c r="N350" i="3" s="1"/>
  <c r="W350" i="3" l="1"/>
  <c r="L350" i="3"/>
  <c r="AA351" i="3"/>
  <c r="P351" i="3"/>
  <c r="Q351" i="3" s="1"/>
  <c r="R351" i="3" s="1"/>
  <c r="S351" i="3" s="1"/>
  <c r="Z351" i="3"/>
  <c r="AC351" i="3"/>
  <c r="U350" i="3" l="1"/>
  <c r="Y349" i="3"/>
  <c r="T351" i="3"/>
  <c r="D351" i="3" l="1"/>
  <c r="G351" i="3" s="1"/>
  <c r="AH351" i="3"/>
  <c r="E351" i="3"/>
  <c r="H351" i="3" s="1"/>
  <c r="K351" i="3" s="1"/>
  <c r="AE351" i="3" s="1"/>
  <c r="AG351" i="3"/>
  <c r="F351" i="3" l="1"/>
  <c r="V351" i="3"/>
  <c r="A352" i="3"/>
  <c r="B352" i="3" s="1"/>
  <c r="I351" i="3"/>
  <c r="J351" i="3"/>
  <c r="AD351" i="3" s="1"/>
  <c r="M351" i="3"/>
  <c r="N351" i="3" s="1"/>
  <c r="L351" i="3" l="1"/>
  <c r="W351" i="3"/>
  <c r="AC352" i="3"/>
  <c r="AD352" i="3"/>
  <c r="P352" i="3"/>
  <c r="Q352" i="3" s="1"/>
  <c r="R352" i="3" s="1"/>
  <c r="S352" i="3" s="1"/>
  <c r="AA352" i="3"/>
  <c r="Z352" i="3"/>
  <c r="U351" i="3" l="1"/>
  <c r="Y350" i="3"/>
  <c r="T352" i="3"/>
  <c r="E352" i="3" l="1"/>
  <c r="H352" i="3" s="1"/>
  <c r="K352" i="3" s="1"/>
  <c r="AE352" i="3" s="1"/>
  <c r="AH352" i="3"/>
  <c r="D352" i="3"/>
  <c r="AG352" i="3"/>
  <c r="F352" i="3" l="1"/>
  <c r="G352" i="3"/>
  <c r="V352" i="3"/>
  <c r="A353" i="3"/>
  <c r="B353" i="3" s="1"/>
  <c r="AC353" i="3" l="1"/>
  <c r="AD353" i="3"/>
  <c r="AA353" i="3"/>
  <c r="P353" i="3"/>
  <c r="Q353" i="3" s="1"/>
  <c r="R353" i="3" s="1"/>
  <c r="S353" i="3" s="1"/>
  <c r="Z353" i="3"/>
  <c r="I352" i="3"/>
  <c r="W352" i="3" s="1"/>
  <c r="J352" i="3"/>
  <c r="M352" i="3"/>
  <c r="N352" i="3" s="1"/>
  <c r="T353" i="3" l="1"/>
  <c r="L352" i="3"/>
  <c r="U352" i="3" l="1"/>
  <c r="D353" i="3" s="1"/>
  <c r="AH353" i="3"/>
  <c r="AG353" i="3"/>
  <c r="Y351" i="3"/>
  <c r="E353" i="3" l="1"/>
  <c r="H353" i="3" s="1"/>
  <c r="K353" i="3" s="1"/>
  <c r="AE353" i="3" s="1"/>
  <c r="G353" i="3"/>
  <c r="F353" i="3" l="1"/>
  <c r="I353" i="3"/>
  <c r="J353" i="3"/>
  <c r="M353" i="3"/>
  <c r="N353" i="3" s="1"/>
  <c r="V353" i="3"/>
  <c r="A354" i="3"/>
  <c r="B354" i="3" s="1"/>
  <c r="W353" i="3" l="1"/>
  <c r="L353" i="3"/>
  <c r="P354" i="3"/>
  <c r="Q354" i="3" s="1"/>
  <c r="R354" i="3" s="1"/>
  <c r="S354" i="3" s="1"/>
  <c r="AC354" i="3"/>
  <c r="Z354" i="3"/>
  <c r="AA354" i="3"/>
  <c r="U353" i="3" l="1"/>
  <c r="Y352" i="3"/>
  <c r="T354" i="3"/>
  <c r="AG354" i="3" s="1"/>
  <c r="D354" i="3" l="1"/>
  <c r="AH354" i="3"/>
  <c r="E354" i="3"/>
  <c r="H354" i="3" s="1"/>
  <c r="F354" i="3" l="1"/>
  <c r="G354" i="3"/>
  <c r="K354" i="3"/>
  <c r="AE354" i="3" s="1"/>
  <c r="V354" i="3" l="1"/>
  <c r="A355" i="3"/>
  <c r="B355" i="3" s="1"/>
  <c r="I354" i="3"/>
  <c r="J354" i="3"/>
  <c r="AD354" i="3" s="1"/>
  <c r="M354" i="3"/>
  <c r="N354" i="3" s="1"/>
  <c r="W354" i="3" l="1"/>
  <c r="L354" i="3"/>
  <c r="AA355" i="3"/>
  <c r="AC355" i="3"/>
  <c r="Z355" i="3"/>
  <c r="P355" i="3"/>
  <c r="Q355" i="3" s="1"/>
  <c r="R355" i="3" s="1"/>
  <c r="S355" i="3" s="1"/>
  <c r="T355" i="3" l="1"/>
  <c r="U354" i="3"/>
  <c r="Y353" i="3"/>
  <c r="D355" i="3" l="1"/>
  <c r="G355" i="3" s="1"/>
  <c r="AG355" i="3"/>
  <c r="E355" i="3"/>
  <c r="H355" i="3" s="1"/>
  <c r="K355" i="3" s="1"/>
  <c r="AE355" i="3" s="1"/>
  <c r="AH355" i="3"/>
  <c r="F355" i="3" l="1"/>
  <c r="V355" i="3"/>
  <c r="A356" i="3"/>
  <c r="B356" i="3" s="1"/>
  <c r="I355" i="3"/>
  <c r="J355" i="3"/>
  <c r="AD355" i="3" s="1"/>
  <c r="M355" i="3"/>
  <c r="N355" i="3" s="1"/>
  <c r="W355" i="3" l="1"/>
  <c r="L355" i="3"/>
  <c r="P356" i="3"/>
  <c r="Q356" i="3" s="1"/>
  <c r="R356" i="3" s="1"/>
  <c r="S356" i="3" s="1"/>
  <c r="AA356" i="3"/>
  <c r="Z356" i="3"/>
  <c r="AC356" i="3"/>
  <c r="U355" i="3" l="1"/>
  <c r="Y354" i="3"/>
  <c r="T356" i="3"/>
  <c r="AG356" i="3" s="1"/>
  <c r="AH356" i="3" l="1"/>
  <c r="D356" i="3"/>
  <c r="E356" i="3"/>
  <c r="H356" i="3" s="1"/>
  <c r="K356" i="3" s="1"/>
  <c r="AE356" i="3" s="1"/>
  <c r="F356" i="3" l="1"/>
  <c r="G356" i="3"/>
  <c r="M356" i="3" s="1"/>
  <c r="N356" i="3" s="1"/>
  <c r="V356" i="3"/>
  <c r="A357" i="3"/>
  <c r="B357" i="3" s="1"/>
  <c r="I356" i="3" l="1"/>
  <c r="W356" i="3" s="1"/>
  <c r="J356" i="3"/>
  <c r="Z357" i="3"/>
  <c r="P357" i="3"/>
  <c r="Q357" i="3" s="1"/>
  <c r="R357" i="3" s="1"/>
  <c r="S357" i="3" s="1"/>
  <c r="AC357" i="3"/>
  <c r="AA357" i="3"/>
  <c r="L356" i="3" l="1"/>
  <c r="U356" i="3" s="1"/>
  <c r="AD356" i="3"/>
  <c r="T357" i="3"/>
  <c r="Y355" i="3" l="1"/>
  <c r="AG357" i="3"/>
  <c r="AH357" i="3"/>
  <c r="E357" i="3"/>
  <c r="H357" i="3" s="1"/>
  <c r="D357" i="3"/>
  <c r="F357" i="3" l="1"/>
  <c r="G357" i="3"/>
  <c r="K357" i="3"/>
  <c r="AE357" i="3" s="1"/>
  <c r="V357" i="3" l="1"/>
  <c r="A358" i="3"/>
  <c r="B358" i="3" s="1"/>
  <c r="I357" i="3"/>
  <c r="J357" i="3"/>
  <c r="AD357" i="3" s="1"/>
  <c r="M357" i="3"/>
  <c r="N357" i="3" s="1"/>
  <c r="W357" i="3" l="1"/>
  <c r="L357" i="3"/>
  <c r="P358" i="3"/>
  <c r="Q358" i="3" s="1"/>
  <c r="R358" i="3" s="1"/>
  <c r="S358" i="3" s="1"/>
  <c r="Z358" i="3"/>
  <c r="AA358" i="3"/>
  <c r="AC358" i="3"/>
  <c r="T358" i="3" l="1"/>
  <c r="AH358" i="3" s="1"/>
  <c r="U357" i="3"/>
  <c r="Y356" i="3"/>
  <c r="D358" i="3" l="1"/>
  <c r="G358" i="3" s="1"/>
  <c r="E358" i="3"/>
  <c r="H358" i="3" s="1"/>
  <c r="AG358" i="3"/>
  <c r="I358" i="3" l="1"/>
  <c r="J358" i="3"/>
  <c r="AD358" i="3" s="1"/>
  <c r="M358" i="3"/>
  <c r="N358" i="3" s="1"/>
  <c r="F358" i="3"/>
  <c r="K358" i="3"/>
  <c r="AE358" i="3" s="1"/>
  <c r="V358" i="3" l="1"/>
  <c r="W358" i="3" s="1"/>
  <c r="A359" i="3"/>
  <c r="B359" i="3" s="1"/>
  <c r="L358" i="3"/>
  <c r="U358" i="3" l="1"/>
  <c r="Y357" i="3"/>
  <c r="P359" i="3"/>
  <c r="Q359" i="3" s="1"/>
  <c r="R359" i="3" s="1"/>
  <c r="S359" i="3" s="1"/>
  <c r="AC359" i="3"/>
  <c r="AA359" i="3"/>
  <c r="Z359" i="3"/>
  <c r="T359" i="3" l="1"/>
  <c r="AG359" i="3" s="1"/>
  <c r="AH359" i="3" l="1"/>
  <c r="E359" i="3"/>
  <c r="H359" i="3" s="1"/>
  <c r="D359" i="3"/>
  <c r="K359" i="3" l="1"/>
  <c r="AE359" i="3" s="1"/>
  <c r="F359" i="3"/>
  <c r="G359" i="3"/>
  <c r="I359" i="3" l="1"/>
  <c r="J359" i="3"/>
  <c r="AD359" i="3" s="1"/>
  <c r="M359" i="3"/>
  <c r="N359" i="3" s="1"/>
  <c r="V359" i="3"/>
  <c r="A360" i="3"/>
  <c r="B360" i="3" s="1"/>
  <c r="W359" i="3" l="1"/>
  <c r="L359" i="3"/>
  <c r="AC360" i="3"/>
  <c r="AA360" i="3"/>
  <c r="P360" i="3"/>
  <c r="Q360" i="3" s="1"/>
  <c r="R360" i="3" s="1"/>
  <c r="S360" i="3" s="1"/>
  <c r="Z360" i="3"/>
  <c r="T360" i="3" l="1"/>
  <c r="AH360" i="3" s="1"/>
  <c r="U359" i="3"/>
  <c r="Y358" i="3"/>
  <c r="E360" i="3" l="1"/>
  <c r="H360" i="3" s="1"/>
  <c r="K360" i="3" s="1"/>
  <c r="AE360" i="3" s="1"/>
  <c r="AG360" i="3"/>
  <c r="D360" i="3"/>
  <c r="F360" i="3" l="1"/>
  <c r="G360" i="3"/>
  <c r="V360" i="3"/>
  <c r="A361" i="3"/>
  <c r="B361" i="3" s="1"/>
  <c r="Z361" i="3" l="1"/>
  <c r="P361" i="3"/>
  <c r="Q361" i="3" s="1"/>
  <c r="R361" i="3" s="1"/>
  <c r="S361" i="3" s="1"/>
  <c r="AC361" i="3"/>
  <c r="AA361" i="3"/>
  <c r="I360" i="3"/>
  <c r="W360" i="3" s="1"/>
  <c r="J360" i="3"/>
  <c r="AD360" i="3" s="1"/>
  <c r="M360" i="3"/>
  <c r="N360" i="3" s="1"/>
  <c r="T361" i="3" l="1"/>
  <c r="L360" i="3"/>
  <c r="AG361" i="3" l="1"/>
  <c r="AH361" i="3"/>
  <c r="U360" i="3"/>
  <c r="E361" i="3" s="1"/>
  <c r="H361" i="3" s="1"/>
  <c r="Y359" i="3"/>
  <c r="D361" i="3" l="1"/>
  <c r="G361" i="3" s="1"/>
  <c r="K361" i="3"/>
  <c r="AE361" i="3" s="1"/>
  <c r="F361" i="3" l="1"/>
  <c r="I361" i="3"/>
  <c r="J361" i="3"/>
  <c r="AD361" i="3" s="1"/>
  <c r="M361" i="3"/>
  <c r="N361" i="3" s="1"/>
  <c r="V361" i="3"/>
  <c r="A362" i="3"/>
  <c r="B362" i="3" s="1"/>
  <c r="W361" i="3" l="1"/>
  <c r="L361" i="3"/>
  <c r="AC362" i="3"/>
  <c r="Z362" i="3"/>
  <c r="P362" i="3"/>
  <c r="Q362" i="3" s="1"/>
  <c r="R362" i="3" s="1"/>
  <c r="S362" i="3" s="1"/>
  <c r="AA362" i="3"/>
  <c r="U361" i="3" l="1"/>
  <c r="Y360" i="3"/>
  <c r="T362" i="3"/>
  <c r="AH362" i="3" s="1"/>
  <c r="D362" i="3" l="1"/>
  <c r="G362" i="3" s="1"/>
  <c r="E362" i="3"/>
  <c r="H362" i="3" s="1"/>
  <c r="K362" i="3" s="1"/>
  <c r="AE362" i="3" s="1"/>
  <c r="AG362" i="3"/>
  <c r="F362" i="3" l="1"/>
  <c r="I362" i="3"/>
  <c r="J362" i="3"/>
  <c r="AD362" i="3" s="1"/>
  <c r="M362" i="3"/>
  <c r="N362" i="3" s="1"/>
  <c r="V362" i="3"/>
  <c r="A363" i="3"/>
  <c r="B363" i="3" s="1"/>
  <c r="W362" i="3" l="1"/>
  <c r="L362" i="3"/>
  <c r="P363" i="3"/>
  <c r="Q363" i="3" s="1"/>
  <c r="R363" i="3" s="1"/>
  <c r="S363" i="3" s="1"/>
  <c r="AA363" i="3"/>
  <c r="Z363" i="3"/>
  <c r="AC363" i="3"/>
  <c r="T363" i="3" l="1"/>
  <c r="U362" i="3"/>
  <c r="Y361" i="3"/>
  <c r="E363" i="3" l="1"/>
  <c r="H363" i="3" s="1"/>
  <c r="K363" i="3" s="1"/>
  <c r="AE363" i="3" s="1"/>
  <c r="AH363" i="3"/>
  <c r="D363" i="3"/>
  <c r="AG363" i="3"/>
  <c r="F363" i="3" l="1"/>
  <c r="G363" i="3"/>
  <c r="M363" i="3" s="1"/>
  <c r="N363" i="3" s="1"/>
  <c r="V363" i="3"/>
  <c r="A364" i="3"/>
  <c r="B364" i="3" s="1"/>
  <c r="I363" i="3" l="1"/>
  <c r="W363" i="3" s="1"/>
  <c r="J363" i="3"/>
  <c r="P364" i="3"/>
  <c r="Q364" i="3" s="1"/>
  <c r="R364" i="3" s="1"/>
  <c r="S364" i="3" s="1"/>
  <c r="Z364" i="3"/>
  <c r="AC364" i="3"/>
  <c r="AA364" i="3"/>
  <c r="L363" i="3" l="1"/>
  <c r="U363" i="3" s="1"/>
  <c r="AD363" i="3"/>
  <c r="T364" i="3"/>
  <c r="Y362" i="3" l="1"/>
  <c r="D364" i="3"/>
  <c r="G364" i="3" s="1"/>
  <c r="E364" i="3"/>
  <c r="H364" i="3" s="1"/>
  <c r="K364" i="3" s="1"/>
  <c r="AE364" i="3" s="1"/>
  <c r="AG364" i="3"/>
  <c r="AH364" i="3"/>
  <c r="F364" i="3" l="1"/>
  <c r="V364" i="3"/>
  <c r="A365" i="3"/>
  <c r="B365" i="3" s="1"/>
  <c r="I364" i="3"/>
  <c r="J364" i="3"/>
  <c r="AD364" i="3" s="1"/>
  <c r="M364" i="3"/>
  <c r="N364" i="3" s="1"/>
  <c r="W364" i="3" l="1"/>
  <c r="L364" i="3"/>
  <c r="AC365" i="3"/>
  <c r="P365" i="3"/>
  <c r="Q365" i="3" s="1"/>
  <c r="R365" i="3" s="1"/>
  <c r="S365" i="3" s="1"/>
  <c r="AA365" i="3"/>
  <c r="Z365" i="3"/>
  <c r="U364" i="3" l="1"/>
  <c r="Y363" i="3"/>
  <c r="T365" i="3"/>
  <c r="AH365" i="3" s="1"/>
  <c r="D365" i="3" l="1"/>
  <c r="G365" i="3" s="1"/>
  <c r="AG365" i="3"/>
  <c r="E365" i="3"/>
  <c r="H365" i="3" s="1"/>
  <c r="K365" i="3" s="1"/>
  <c r="AE365" i="3" s="1"/>
  <c r="F365" i="3" l="1"/>
  <c r="I365" i="3"/>
  <c r="J365" i="3"/>
  <c r="AD365" i="3" s="1"/>
  <c r="M365" i="3"/>
  <c r="N365" i="3" s="1"/>
  <c r="V365" i="3"/>
  <c r="A366" i="3"/>
  <c r="B366" i="3" s="1"/>
  <c r="W365" i="3" l="1"/>
  <c r="L365" i="3"/>
  <c r="AC366" i="3"/>
  <c r="P366" i="3"/>
  <c r="Q366" i="3" s="1"/>
  <c r="R366" i="3" s="1"/>
  <c r="S366" i="3" s="1"/>
  <c r="AA366" i="3"/>
  <c r="Z366" i="3"/>
  <c r="U365" i="3" l="1"/>
  <c r="Y364" i="3"/>
  <c r="T366" i="3"/>
  <c r="E366" i="3" l="1"/>
  <c r="H366" i="3" s="1"/>
  <c r="K366" i="3" s="1"/>
  <c r="AE366" i="3" s="1"/>
  <c r="AH366" i="3"/>
  <c r="D366" i="3"/>
  <c r="G366" i="3" s="1"/>
  <c r="AG366" i="3"/>
  <c r="F366" i="3" l="1"/>
  <c r="V366" i="3"/>
  <c r="A367" i="3"/>
  <c r="B367" i="3" s="1"/>
  <c r="I366" i="3"/>
  <c r="J366" i="3"/>
  <c r="AD366" i="3" s="1"/>
  <c r="M366" i="3"/>
  <c r="N366" i="3" s="1"/>
  <c r="W366" i="3" l="1"/>
  <c r="L366" i="3"/>
  <c r="Z367" i="3"/>
  <c r="P367" i="3"/>
  <c r="Q367" i="3" s="1"/>
  <c r="R367" i="3" s="1"/>
  <c r="S367" i="3" s="1"/>
  <c r="AC367" i="3"/>
  <c r="AA367" i="3"/>
  <c r="T367" i="3" l="1"/>
  <c r="AG367" i="3" s="1"/>
  <c r="U366" i="3"/>
  <c r="Y365" i="3"/>
  <c r="D367" i="3" l="1"/>
  <c r="AH367" i="3"/>
  <c r="E367" i="3"/>
  <c r="H367" i="3" s="1"/>
  <c r="F367" i="3" l="1"/>
  <c r="G367" i="3"/>
  <c r="K367" i="3"/>
  <c r="AE367" i="3" s="1"/>
  <c r="I367" i="3" l="1"/>
  <c r="J367" i="3"/>
  <c r="AD367" i="3" s="1"/>
  <c r="M367" i="3"/>
  <c r="N367" i="3" s="1"/>
  <c r="V367" i="3"/>
  <c r="A368" i="3"/>
  <c r="B368" i="3" s="1"/>
  <c r="L367" i="3" l="1"/>
  <c r="W367" i="3"/>
  <c r="Z368" i="3"/>
  <c r="P368" i="3"/>
  <c r="Q368" i="3" s="1"/>
  <c r="R368" i="3" s="1"/>
  <c r="S368" i="3" s="1"/>
  <c r="AC368" i="3"/>
  <c r="AA368" i="3"/>
  <c r="T368" i="3" l="1"/>
  <c r="AH368" i="3" s="1"/>
  <c r="U367" i="3"/>
  <c r="Y366" i="3"/>
  <c r="E368" i="3" l="1"/>
  <c r="H368" i="3" s="1"/>
  <c r="K368" i="3" s="1"/>
  <c r="AE368" i="3" s="1"/>
  <c r="D368" i="3"/>
  <c r="AG368" i="3"/>
  <c r="V368" i="3" l="1"/>
  <c r="A369" i="3"/>
  <c r="B369" i="3" s="1"/>
  <c r="F368" i="3"/>
  <c r="G368" i="3"/>
  <c r="I368" i="3" l="1"/>
  <c r="W368" i="3" s="1"/>
  <c r="J368" i="3"/>
  <c r="AD368" i="3" s="1"/>
  <c r="M368" i="3"/>
  <c r="N368" i="3" s="1"/>
  <c r="Z369" i="3"/>
  <c r="AC369" i="3"/>
  <c r="P369" i="3"/>
  <c r="Q369" i="3" s="1"/>
  <c r="R369" i="3" s="1"/>
  <c r="S369" i="3" s="1"/>
  <c r="AA369" i="3"/>
  <c r="T369" i="3" l="1"/>
  <c r="L368" i="3"/>
  <c r="AH369" i="3" l="1"/>
  <c r="AG369" i="3"/>
  <c r="U368" i="3"/>
  <c r="E369" i="3" s="1"/>
  <c r="H369" i="3" s="1"/>
  <c r="Y367" i="3"/>
  <c r="D369" i="3" l="1"/>
  <c r="F369" i="3" s="1"/>
  <c r="K369" i="3"/>
  <c r="AE369" i="3" s="1"/>
  <c r="G369" i="3" l="1"/>
  <c r="M369" i="3" s="1"/>
  <c r="N369" i="3" s="1"/>
  <c r="V369" i="3"/>
  <c r="A370" i="3"/>
  <c r="B370" i="3" s="1"/>
  <c r="J369" i="3" l="1"/>
  <c r="I369" i="3"/>
  <c r="W369" i="3" s="1"/>
  <c r="AA370" i="3"/>
  <c r="P370" i="3"/>
  <c r="Q370" i="3" s="1"/>
  <c r="R370" i="3" s="1"/>
  <c r="S370" i="3" s="1"/>
  <c r="AC370" i="3"/>
  <c r="Z370" i="3"/>
  <c r="L369" i="3" l="1"/>
  <c r="U369" i="3" s="1"/>
  <c r="AD369" i="3"/>
  <c r="T370" i="3"/>
  <c r="AG370" i="3" l="1"/>
  <c r="Y368" i="3"/>
  <c r="E370" i="3"/>
  <c r="H370" i="3" s="1"/>
  <c r="K370" i="3" s="1"/>
  <c r="AE370" i="3" s="1"/>
  <c r="AH370" i="3"/>
  <c r="D370" i="3"/>
  <c r="F370" i="3" l="1"/>
  <c r="G370" i="3"/>
  <c r="M370" i="3" s="1"/>
  <c r="N370" i="3" s="1"/>
  <c r="V370" i="3"/>
  <c r="A371" i="3"/>
  <c r="B371" i="3" s="1"/>
  <c r="I370" i="3" l="1"/>
  <c r="W370" i="3" s="1"/>
  <c r="J370" i="3"/>
  <c r="AC371" i="3"/>
  <c r="P371" i="3"/>
  <c r="Q371" i="3" s="1"/>
  <c r="R371" i="3" s="1"/>
  <c r="S371" i="3" s="1"/>
  <c r="AA371" i="3"/>
  <c r="Z371" i="3"/>
  <c r="L370" i="3" l="1"/>
  <c r="U370" i="3" s="1"/>
  <c r="AD370" i="3"/>
  <c r="T371" i="3"/>
  <c r="Y369" i="3" l="1"/>
  <c r="AG371" i="3"/>
  <c r="E371" i="3"/>
  <c r="H371" i="3" s="1"/>
  <c r="K371" i="3" s="1"/>
  <c r="AE371" i="3" s="1"/>
  <c r="D371" i="3"/>
  <c r="AH371" i="3"/>
  <c r="V371" i="3" l="1"/>
  <c r="A372" i="3"/>
  <c r="B372" i="3" s="1"/>
  <c r="F371" i="3"/>
  <c r="G371" i="3"/>
  <c r="I371" i="3" l="1"/>
  <c r="W371" i="3" s="1"/>
  <c r="J371" i="3"/>
  <c r="AD371" i="3" s="1"/>
  <c r="M371" i="3"/>
  <c r="N371" i="3" s="1"/>
  <c r="P372" i="3"/>
  <c r="Q372" i="3" s="1"/>
  <c r="R372" i="3" s="1"/>
  <c r="S372" i="3" s="1"/>
  <c r="AA372" i="3"/>
  <c r="AC372" i="3"/>
  <c r="Z372" i="3"/>
  <c r="L371" i="3" l="1"/>
  <c r="T372" i="3"/>
  <c r="U371" i="3" l="1"/>
  <c r="E372" i="3" s="1"/>
  <c r="H372" i="3" s="1"/>
  <c r="AG372" i="3"/>
  <c r="AH372" i="3"/>
  <c r="Y370" i="3"/>
  <c r="D372" i="3" l="1"/>
  <c r="F372" i="3" s="1"/>
  <c r="K372" i="3"/>
  <c r="AE372" i="3" s="1"/>
  <c r="G372" i="3" l="1"/>
  <c r="M372" i="3" s="1"/>
  <c r="N372" i="3" s="1"/>
  <c r="V372" i="3"/>
  <c r="A373" i="3"/>
  <c r="B373" i="3" s="1"/>
  <c r="J372" i="3" l="1"/>
  <c r="I372" i="3"/>
  <c r="W372" i="3" s="1"/>
  <c r="Z373" i="3"/>
  <c r="AC373" i="3"/>
  <c r="P373" i="3"/>
  <c r="Q373" i="3" s="1"/>
  <c r="R373" i="3" s="1"/>
  <c r="S373" i="3" s="1"/>
  <c r="AA373" i="3"/>
  <c r="L372" i="3" l="1"/>
  <c r="U372" i="3" s="1"/>
  <c r="AD372" i="3"/>
  <c r="T373" i="3"/>
  <c r="AH373" i="3" l="1"/>
  <c r="Y371" i="3"/>
  <c r="D373" i="3"/>
  <c r="G373" i="3" s="1"/>
  <c r="E373" i="3"/>
  <c r="H373" i="3" s="1"/>
  <c r="AG373" i="3"/>
  <c r="F373" i="3" l="1"/>
  <c r="I373" i="3"/>
  <c r="J373" i="3"/>
  <c r="AD373" i="3" s="1"/>
  <c r="M373" i="3"/>
  <c r="N373" i="3" s="1"/>
  <c r="K373" i="3"/>
  <c r="AE373" i="3" s="1"/>
  <c r="V373" i="3" l="1"/>
  <c r="W373" i="3" s="1"/>
  <c r="A374" i="3"/>
  <c r="B374" i="3" s="1"/>
  <c r="L373" i="3"/>
  <c r="U373" i="3" l="1"/>
  <c r="Y372" i="3"/>
  <c r="AA374" i="3"/>
  <c r="AC374" i="3"/>
  <c r="Z374" i="3"/>
  <c r="P374" i="3"/>
  <c r="Q374" i="3" s="1"/>
  <c r="R374" i="3" s="1"/>
  <c r="S374" i="3" s="1"/>
  <c r="T374" i="3" l="1"/>
  <c r="AH374" i="3" s="1"/>
  <c r="AG374" i="3" l="1"/>
  <c r="E374" i="3"/>
  <c r="H374" i="3" s="1"/>
  <c r="K374" i="3" s="1"/>
  <c r="AE374" i="3" s="1"/>
  <c r="D374" i="3"/>
  <c r="F374" i="3" l="1"/>
  <c r="G374" i="3"/>
  <c r="I374" i="3" s="1"/>
  <c r="V374" i="3"/>
  <c r="A375" i="3"/>
  <c r="B375" i="3" s="1"/>
  <c r="J374" i="3" l="1"/>
  <c r="M374" i="3"/>
  <c r="N374" i="3" s="1"/>
  <c r="W374" i="3"/>
  <c r="P375" i="3"/>
  <c r="Q375" i="3" s="1"/>
  <c r="R375" i="3" s="1"/>
  <c r="S375" i="3" s="1"/>
  <c r="Z375" i="3"/>
  <c r="AC375" i="3"/>
  <c r="AA375" i="3"/>
  <c r="L374" i="3" l="1"/>
  <c r="Y373" i="3" s="1"/>
  <c r="AD374" i="3"/>
  <c r="T375" i="3"/>
  <c r="U374" i="3" l="1"/>
  <c r="E375" i="3" s="1"/>
  <c r="H375" i="3" s="1"/>
  <c r="K375" i="3" s="1"/>
  <c r="AE375" i="3" s="1"/>
  <c r="AG375" i="3"/>
  <c r="AH375" i="3"/>
  <c r="D375" i="3" l="1"/>
  <c r="G375" i="3" s="1"/>
  <c r="I375" i="3" s="1"/>
  <c r="V375" i="3"/>
  <c r="A376" i="3"/>
  <c r="B376" i="3" s="1"/>
  <c r="M375" i="3" l="1"/>
  <c r="N375" i="3" s="1"/>
  <c r="F375" i="3"/>
  <c r="J375" i="3"/>
  <c r="W375" i="3"/>
  <c r="AA376" i="3"/>
  <c r="P376" i="3"/>
  <c r="Q376" i="3" s="1"/>
  <c r="R376" i="3" s="1"/>
  <c r="S376" i="3" s="1"/>
  <c r="AC376" i="3"/>
  <c r="Z376" i="3"/>
  <c r="L375" i="3" l="1"/>
  <c r="U375" i="3" s="1"/>
  <c r="AD375" i="3"/>
  <c r="T376" i="3"/>
  <c r="Y374" i="3" l="1"/>
  <c r="D376" i="3"/>
  <c r="G376" i="3" s="1"/>
  <c r="AG376" i="3"/>
  <c r="AH376" i="3"/>
  <c r="E376" i="3"/>
  <c r="H376" i="3" s="1"/>
  <c r="F376" i="3" l="1"/>
  <c r="I376" i="3"/>
  <c r="J376" i="3"/>
  <c r="AD376" i="3" s="1"/>
  <c r="M376" i="3"/>
  <c r="N376" i="3" s="1"/>
  <c r="K376" i="3"/>
  <c r="AE376" i="3" s="1"/>
  <c r="V376" i="3" l="1"/>
  <c r="W376" i="3" s="1"/>
  <c r="A377" i="3"/>
  <c r="B377" i="3" s="1"/>
  <c r="L376" i="3"/>
  <c r="AC377" i="3" l="1"/>
  <c r="AA377" i="3"/>
  <c r="P377" i="3"/>
  <c r="Q377" i="3" s="1"/>
  <c r="R377" i="3" s="1"/>
  <c r="S377" i="3" s="1"/>
  <c r="Z377" i="3"/>
  <c r="U376" i="3"/>
  <c r="Y375" i="3"/>
  <c r="T377" i="3" l="1"/>
  <c r="AH377" i="3" s="1"/>
  <c r="E377" i="3" l="1"/>
  <c r="H377" i="3" s="1"/>
  <c r="K377" i="3" s="1"/>
  <c r="AE377" i="3" s="1"/>
  <c r="D377" i="3"/>
  <c r="AG377" i="3"/>
  <c r="F377" i="3" l="1"/>
  <c r="G377" i="3"/>
  <c r="M377" i="3" s="1"/>
  <c r="N377" i="3" s="1"/>
  <c r="V377" i="3"/>
  <c r="A378" i="3"/>
  <c r="B378" i="3" s="1"/>
  <c r="I377" i="3" l="1"/>
  <c r="W377" i="3" s="1"/>
  <c r="J377" i="3"/>
  <c r="Z378" i="3"/>
  <c r="AC378" i="3"/>
  <c r="P378" i="3"/>
  <c r="Q378" i="3" s="1"/>
  <c r="R378" i="3" s="1"/>
  <c r="S378" i="3" s="1"/>
  <c r="AA378" i="3"/>
  <c r="L377" i="3" l="1"/>
  <c r="U377" i="3" s="1"/>
  <c r="AD377" i="3"/>
  <c r="T378" i="3"/>
  <c r="Y376" i="3" l="1"/>
  <c r="D378" i="3"/>
  <c r="G378" i="3" s="1"/>
  <c r="AG378" i="3"/>
  <c r="E378" i="3"/>
  <c r="H378" i="3" s="1"/>
  <c r="K378" i="3" s="1"/>
  <c r="AE378" i="3" s="1"/>
  <c r="AH378" i="3"/>
  <c r="F378" i="3" l="1"/>
  <c r="V378" i="3"/>
  <c r="A379" i="3"/>
  <c r="B379" i="3" s="1"/>
  <c r="I378" i="3"/>
  <c r="J378" i="3"/>
  <c r="AD378" i="3" s="1"/>
  <c r="M378" i="3"/>
  <c r="N378" i="3" s="1"/>
  <c r="W378" i="3" l="1"/>
  <c r="L378" i="3"/>
  <c r="Z379" i="3"/>
  <c r="AA379" i="3"/>
  <c r="P379" i="3"/>
  <c r="Q379" i="3" s="1"/>
  <c r="R379" i="3" s="1"/>
  <c r="S379" i="3" s="1"/>
  <c r="AC379" i="3"/>
  <c r="U378" i="3" l="1"/>
  <c r="Y377" i="3"/>
  <c r="T379" i="3"/>
  <c r="AH379" i="3" s="1"/>
  <c r="E379" i="3" l="1"/>
  <c r="H379" i="3" s="1"/>
  <c r="K379" i="3" s="1"/>
  <c r="AE379" i="3" s="1"/>
  <c r="D379" i="3"/>
  <c r="G379" i="3" s="1"/>
  <c r="AG379" i="3"/>
  <c r="F379" i="3" l="1"/>
  <c r="I379" i="3"/>
  <c r="J379" i="3"/>
  <c r="AD379" i="3" s="1"/>
  <c r="M379" i="3"/>
  <c r="N379" i="3" s="1"/>
  <c r="V379" i="3"/>
  <c r="A380" i="3"/>
  <c r="B380" i="3" s="1"/>
  <c r="W379" i="3" l="1"/>
  <c r="L379" i="3"/>
  <c r="Z380" i="3"/>
  <c r="P380" i="3"/>
  <c r="Q380" i="3" s="1"/>
  <c r="R380" i="3" s="1"/>
  <c r="S380" i="3" s="1"/>
  <c r="AC380" i="3"/>
  <c r="AA380" i="3"/>
  <c r="T380" i="3" l="1"/>
  <c r="AH380" i="3" s="1"/>
  <c r="U379" i="3"/>
  <c r="Y378" i="3"/>
  <c r="AG380" i="3" l="1"/>
  <c r="E380" i="3"/>
  <c r="H380" i="3" s="1"/>
  <c r="K380" i="3" s="1"/>
  <c r="AE380" i="3" s="1"/>
  <c r="D380" i="3"/>
  <c r="V380" i="3" l="1"/>
  <c r="A381" i="3"/>
  <c r="B381" i="3" s="1"/>
  <c r="F380" i="3"/>
  <c r="G380" i="3"/>
  <c r="I380" i="3" l="1"/>
  <c r="W380" i="3" s="1"/>
  <c r="J380" i="3"/>
  <c r="AD380" i="3" s="1"/>
  <c r="M380" i="3"/>
  <c r="N380" i="3" s="1"/>
  <c r="Z381" i="3"/>
  <c r="AA381" i="3"/>
  <c r="AC381" i="3"/>
  <c r="P381" i="3"/>
  <c r="Q381" i="3" s="1"/>
  <c r="R381" i="3" s="1"/>
  <c r="S381" i="3" s="1"/>
  <c r="T381" i="3" l="1"/>
  <c r="L380" i="3"/>
  <c r="U380" i="3" l="1"/>
  <c r="E381" i="3" s="1"/>
  <c r="H381" i="3" s="1"/>
  <c r="AH381" i="3"/>
  <c r="AG381" i="3"/>
  <c r="Y379" i="3"/>
  <c r="K381" i="3" l="1"/>
  <c r="AE381" i="3" s="1"/>
  <c r="D381" i="3"/>
  <c r="V381" i="3" l="1"/>
  <c r="A382" i="3"/>
  <c r="B382" i="3" s="1"/>
  <c r="F381" i="3"/>
  <c r="G381" i="3"/>
  <c r="I381" i="3" l="1"/>
  <c r="W381" i="3" s="1"/>
  <c r="J381" i="3"/>
  <c r="AD381" i="3" s="1"/>
  <c r="M381" i="3"/>
  <c r="N381" i="3" s="1"/>
  <c r="AA382" i="3"/>
  <c r="Z382" i="3"/>
  <c r="P382" i="3"/>
  <c r="Q382" i="3" s="1"/>
  <c r="R382" i="3" s="1"/>
  <c r="S382" i="3" s="1"/>
  <c r="AC382" i="3"/>
  <c r="L381" i="3" l="1"/>
  <c r="T382" i="3"/>
  <c r="U381" i="3" l="1"/>
  <c r="E382" i="3" s="1"/>
  <c r="H382" i="3" s="1"/>
  <c r="AH382" i="3"/>
  <c r="AG382" i="3"/>
  <c r="Y380" i="3"/>
  <c r="D382" i="3" l="1"/>
  <c r="G382" i="3" s="1"/>
  <c r="K382" i="3"/>
  <c r="AE382" i="3" s="1"/>
  <c r="F382" i="3" l="1"/>
  <c r="I382" i="3"/>
  <c r="J382" i="3"/>
  <c r="AD382" i="3" s="1"/>
  <c r="M382" i="3"/>
  <c r="N382" i="3" s="1"/>
  <c r="V382" i="3"/>
  <c r="A383" i="3"/>
  <c r="B383" i="3" s="1"/>
  <c r="W382" i="3" l="1"/>
  <c r="L382" i="3"/>
  <c r="AA383" i="3"/>
  <c r="P383" i="3"/>
  <c r="Q383" i="3" s="1"/>
  <c r="R383" i="3" s="1"/>
  <c r="S383" i="3" s="1"/>
  <c r="Z383" i="3"/>
  <c r="AC383" i="3"/>
  <c r="U382" i="3" l="1"/>
  <c r="Y381" i="3"/>
  <c r="T383" i="3"/>
  <c r="E383" i="3" l="1"/>
  <c r="H383" i="3" s="1"/>
  <c r="K383" i="3" s="1"/>
  <c r="AE383" i="3" s="1"/>
  <c r="D383" i="3"/>
  <c r="AH383" i="3"/>
  <c r="AG383" i="3"/>
  <c r="V383" i="3" l="1"/>
  <c r="A384" i="3"/>
  <c r="B384" i="3" s="1"/>
  <c r="F383" i="3"/>
  <c r="G383" i="3"/>
  <c r="I383" i="3" l="1"/>
  <c r="W383" i="3" s="1"/>
  <c r="J383" i="3"/>
  <c r="AD383" i="3" s="1"/>
  <c r="M383" i="3"/>
  <c r="N383" i="3" s="1"/>
  <c r="P384" i="3"/>
  <c r="Q384" i="3" s="1"/>
  <c r="R384" i="3" s="1"/>
  <c r="S384" i="3" s="1"/>
  <c r="Z384" i="3"/>
  <c r="AC384" i="3"/>
  <c r="AA384" i="3"/>
  <c r="T384" i="3" l="1"/>
  <c r="L383" i="3"/>
  <c r="AG384" i="3" l="1"/>
  <c r="AH384" i="3"/>
  <c r="U383" i="3"/>
  <c r="D384" i="3" s="1"/>
  <c r="Y382" i="3"/>
  <c r="E384" i="3" l="1"/>
  <c r="H384" i="3" s="1"/>
  <c r="K384" i="3" s="1"/>
  <c r="AE384" i="3" s="1"/>
  <c r="G384" i="3"/>
  <c r="F384" i="3" l="1"/>
  <c r="I384" i="3"/>
  <c r="J384" i="3"/>
  <c r="AD384" i="3" s="1"/>
  <c r="M384" i="3"/>
  <c r="N384" i="3" s="1"/>
  <c r="V384" i="3"/>
  <c r="A385" i="3"/>
  <c r="B385" i="3" s="1"/>
  <c r="W384" i="3" l="1"/>
  <c r="L384" i="3"/>
  <c r="P385" i="3"/>
  <c r="Q385" i="3" s="1"/>
  <c r="R385" i="3" s="1"/>
  <c r="S385" i="3" s="1"/>
  <c r="AD385" i="3"/>
  <c r="Z385" i="3"/>
  <c r="AC385" i="3"/>
  <c r="AA385" i="3"/>
  <c r="U384" i="3" l="1"/>
  <c r="Y383" i="3"/>
  <c r="T385" i="3"/>
  <c r="AG385" i="3" s="1"/>
  <c r="D385" i="3" l="1"/>
  <c r="G385" i="3" s="1"/>
  <c r="E385" i="3"/>
  <c r="H385" i="3" s="1"/>
  <c r="K385" i="3" s="1"/>
  <c r="AE385" i="3" s="1"/>
  <c r="AH385" i="3"/>
  <c r="F385" i="3" l="1"/>
  <c r="V385" i="3"/>
  <c r="A386" i="3"/>
  <c r="B386" i="3" s="1"/>
  <c r="I385" i="3"/>
  <c r="J385" i="3"/>
  <c r="M385" i="3"/>
  <c r="N385" i="3" s="1"/>
  <c r="L385" i="3" l="1"/>
  <c r="W385" i="3"/>
  <c r="AC386" i="3"/>
  <c r="P386" i="3"/>
  <c r="Q386" i="3" s="1"/>
  <c r="R386" i="3" s="1"/>
  <c r="S386" i="3" s="1"/>
  <c r="AA386" i="3"/>
  <c r="AD386" i="3"/>
  <c r="Z386" i="3"/>
  <c r="T386" i="3" l="1"/>
  <c r="AH386" i="3" s="1"/>
  <c r="U385" i="3"/>
  <c r="Y384" i="3"/>
  <c r="D386" i="3" l="1"/>
  <c r="E386" i="3"/>
  <c r="H386" i="3" s="1"/>
  <c r="AG386" i="3"/>
  <c r="F386" i="3" l="1"/>
  <c r="G386" i="3"/>
  <c r="K386" i="3"/>
  <c r="AE386" i="3" s="1"/>
  <c r="I386" i="3" l="1"/>
  <c r="J386" i="3"/>
  <c r="M386" i="3"/>
  <c r="N386" i="3" s="1"/>
  <c r="V386" i="3"/>
  <c r="A387" i="3"/>
  <c r="B387" i="3" s="1"/>
  <c r="W386" i="3" l="1"/>
  <c r="L386" i="3"/>
  <c r="AA387" i="3"/>
  <c r="P387" i="3"/>
  <c r="Q387" i="3" s="1"/>
  <c r="R387" i="3" s="1"/>
  <c r="S387" i="3" s="1"/>
  <c r="AC387" i="3"/>
  <c r="Z387" i="3"/>
  <c r="U386" i="3" l="1"/>
  <c r="Y385" i="3"/>
  <c r="T387" i="3"/>
  <c r="AG387" i="3" s="1"/>
  <c r="AH387" i="3" l="1"/>
  <c r="D387" i="3"/>
  <c r="G387" i="3" s="1"/>
  <c r="E387" i="3"/>
  <c r="H387" i="3" s="1"/>
  <c r="F387" i="3" l="1"/>
  <c r="I387" i="3"/>
  <c r="J387" i="3"/>
  <c r="AD387" i="3" s="1"/>
  <c r="M387" i="3"/>
  <c r="N387" i="3" s="1"/>
  <c r="K387" i="3"/>
  <c r="AE387" i="3" s="1"/>
  <c r="V387" i="3" l="1"/>
  <c r="W387" i="3" s="1"/>
  <c r="A388" i="3"/>
  <c r="B388" i="3" s="1"/>
  <c r="L387" i="3"/>
  <c r="U387" i="3" l="1"/>
  <c r="Y386" i="3"/>
  <c r="AA388" i="3"/>
  <c r="Z388" i="3"/>
  <c r="P388" i="3"/>
  <c r="Q388" i="3" s="1"/>
  <c r="R388" i="3" s="1"/>
  <c r="S388" i="3" s="1"/>
  <c r="AC388" i="3"/>
  <c r="T388" i="3" l="1"/>
  <c r="E388" i="3" s="1"/>
  <c r="H388" i="3" s="1"/>
  <c r="K388" i="3" l="1"/>
  <c r="AE388" i="3" s="1"/>
  <c r="D388" i="3"/>
  <c r="AG388" i="3"/>
  <c r="AH388" i="3"/>
  <c r="V388" i="3" l="1"/>
  <c r="A389" i="3"/>
  <c r="B389" i="3" s="1"/>
  <c r="F388" i="3"/>
  <c r="G388" i="3"/>
  <c r="I388" i="3" l="1"/>
  <c r="W388" i="3" s="1"/>
  <c r="J388" i="3"/>
  <c r="AD388" i="3" s="1"/>
  <c r="M388" i="3"/>
  <c r="N388" i="3" s="1"/>
  <c r="P389" i="3"/>
  <c r="Q389" i="3" s="1"/>
  <c r="R389" i="3" s="1"/>
  <c r="S389" i="3" s="1"/>
  <c r="AA389" i="3"/>
  <c r="AD389" i="3"/>
  <c r="AC389" i="3"/>
  <c r="Z389" i="3"/>
  <c r="T389" i="3" l="1"/>
  <c r="L388" i="3"/>
  <c r="U388" i="3" l="1"/>
  <c r="E389" i="3" s="1"/>
  <c r="H389" i="3" s="1"/>
  <c r="AH389" i="3"/>
  <c r="AG389" i="3"/>
  <c r="Y387" i="3"/>
  <c r="D389" i="3" l="1"/>
  <c r="G389" i="3" s="1"/>
  <c r="K389" i="3"/>
  <c r="AE389" i="3" s="1"/>
  <c r="F389" i="3" l="1"/>
  <c r="V389" i="3"/>
  <c r="A390" i="3"/>
  <c r="B390" i="3" s="1"/>
  <c r="I389" i="3"/>
  <c r="J389" i="3"/>
  <c r="M389" i="3"/>
  <c r="N389" i="3" s="1"/>
  <c r="W389" i="3" l="1"/>
  <c r="L389" i="3"/>
  <c r="P390" i="3"/>
  <c r="Q390" i="3" s="1"/>
  <c r="R390" i="3" s="1"/>
  <c r="S390" i="3" s="1"/>
  <c r="AC390" i="3"/>
  <c r="AA390" i="3"/>
  <c r="Z390" i="3"/>
  <c r="AD390" i="3"/>
  <c r="U389" i="3" l="1"/>
  <c r="Y388" i="3"/>
  <c r="T390" i="3"/>
  <c r="AG390" i="3" s="1"/>
  <c r="D390" i="3" l="1"/>
  <c r="AH390" i="3"/>
  <c r="E390" i="3"/>
  <c r="H390" i="3" s="1"/>
  <c r="F390" i="3" l="1"/>
  <c r="G390" i="3"/>
  <c r="K390" i="3"/>
  <c r="AE390" i="3" s="1"/>
  <c r="I390" i="3" l="1"/>
  <c r="J390" i="3"/>
  <c r="M390" i="3"/>
  <c r="N390" i="3" s="1"/>
  <c r="V390" i="3"/>
  <c r="A391" i="3"/>
  <c r="B391" i="3" s="1"/>
  <c r="W390" i="3" l="1"/>
  <c r="L390" i="3"/>
  <c r="AC391" i="3"/>
  <c r="AA391" i="3"/>
  <c r="Z391" i="3"/>
  <c r="P391" i="3"/>
  <c r="Q391" i="3" s="1"/>
  <c r="R391" i="3" s="1"/>
  <c r="S391" i="3" s="1"/>
  <c r="U390" i="3" l="1"/>
  <c r="Y389" i="3"/>
  <c r="T391" i="3"/>
  <c r="E391" i="3" l="1"/>
  <c r="H391" i="3" s="1"/>
  <c r="K391" i="3" s="1"/>
  <c r="AE391" i="3" s="1"/>
  <c r="AG391" i="3"/>
  <c r="AH391" i="3"/>
  <c r="D391" i="3"/>
  <c r="V391" i="3" l="1"/>
  <c r="A392" i="3"/>
  <c r="B392" i="3" s="1"/>
  <c r="F391" i="3"/>
  <c r="G391" i="3"/>
  <c r="I391" i="3" l="1"/>
  <c r="W391" i="3" s="1"/>
  <c r="J391" i="3"/>
  <c r="AD391" i="3" s="1"/>
  <c r="M391" i="3"/>
  <c r="N391" i="3" s="1"/>
  <c r="AD392" i="3"/>
  <c r="Z392" i="3"/>
  <c r="P392" i="3"/>
  <c r="Q392" i="3" s="1"/>
  <c r="R392" i="3" s="1"/>
  <c r="S392" i="3" s="1"/>
  <c r="AA392" i="3"/>
  <c r="AC392" i="3"/>
  <c r="T392" i="3" l="1"/>
  <c r="L391" i="3"/>
  <c r="U391" i="3" l="1"/>
  <c r="D392" i="3" s="1"/>
  <c r="AH392" i="3"/>
  <c r="AG392" i="3"/>
  <c r="Y390" i="3"/>
  <c r="G392" i="3" l="1"/>
  <c r="E392" i="3"/>
  <c r="H392" i="3" s="1"/>
  <c r="F392" i="3" l="1"/>
  <c r="I392" i="3"/>
  <c r="J392" i="3"/>
  <c r="M392" i="3"/>
  <c r="N392" i="3" s="1"/>
  <c r="K392" i="3"/>
  <c r="AE392" i="3" s="1"/>
  <c r="V392" i="3" l="1"/>
  <c r="W392" i="3" s="1"/>
  <c r="A393" i="3"/>
  <c r="B393" i="3" s="1"/>
  <c r="L392" i="3"/>
  <c r="U392" i="3" l="1"/>
  <c r="Y391" i="3"/>
  <c r="AD393" i="3"/>
  <c r="Z393" i="3"/>
  <c r="AA393" i="3"/>
  <c r="P393" i="3"/>
  <c r="Q393" i="3" s="1"/>
  <c r="R393" i="3" s="1"/>
  <c r="S393" i="3" s="1"/>
  <c r="AC393" i="3"/>
  <c r="T393" i="3" l="1"/>
  <c r="AG393" i="3" s="1"/>
  <c r="E393" i="3" l="1"/>
  <c r="H393" i="3" s="1"/>
  <c r="K393" i="3" s="1"/>
  <c r="AE393" i="3" s="1"/>
  <c r="D393" i="3"/>
  <c r="AH393" i="3"/>
  <c r="V393" i="3" l="1"/>
  <c r="A394" i="3"/>
  <c r="B394" i="3" s="1"/>
  <c r="F393" i="3"/>
  <c r="G393" i="3"/>
  <c r="I393" i="3" l="1"/>
  <c r="W393" i="3" s="1"/>
  <c r="J393" i="3"/>
  <c r="M393" i="3"/>
  <c r="N393" i="3" s="1"/>
  <c r="P394" i="3"/>
  <c r="Q394" i="3" s="1"/>
  <c r="R394" i="3" s="1"/>
  <c r="S394" i="3" s="1"/>
  <c r="AC394" i="3"/>
  <c r="Z394" i="3"/>
  <c r="AA394" i="3"/>
  <c r="T394" i="3" l="1"/>
  <c r="L393" i="3"/>
  <c r="AH394" i="3" l="1"/>
  <c r="AG394" i="3"/>
  <c r="U393" i="3"/>
  <c r="D394" i="3" s="1"/>
  <c r="Y392" i="3"/>
  <c r="G394" i="3" l="1"/>
  <c r="E394" i="3"/>
  <c r="H394" i="3" s="1"/>
  <c r="F394" i="3" l="1"/>
  <c r="I394" i="3"/>
  <c r="J394" i="3"/>
  <c r="AD394" i="3" s="1"/>
  <c r="M394" i="3"/>
  <c r="N394" i="3" s="1"/>
  <c r="K394" i="3"/>
  <c r="AE394" i="3" s="1"/>
  <c r="L394" i="3" l="1"/>
  <c r="V394" i="3"/>
  <c r="W394" i="3" s="1"/>
  <c r="A395" i="3"/>
  <c r="B395" i="3" s="1"/>
  <c r="U394" i="3" l="1"/>
  <c r="Y393" i="3"/>
  <c r="AA395" i="3"/>
  <c r="P395" i="3"/>
  <c r="Q395" i="3" s="1"/>
  <c r="R395" i="3" s="1"/>
  <c r="S395" i="3" s="1"/>
  <c r="Z395" i="3"/>
  <c r="AC395" i="3"/>
  <c r="T395" i="3" l="1"/>
  <c r="AG395" i="3" s="1"/>
  <c r="AH395" i="3" l="1"/>
  <c r="E395" i="3"/>
  <c r="H395" i="3" s="1"/>
  <c r="K395" i="3" s="1"/>
  <c r="AE395" i="3" s="1"/>
  <c r="D395" i="3"/>
  <c r="G395" i="3" s="1"/>
  <c r="F395" i="3" l="1"/>
  <c r="V395" i="3"/>
  <c r="A396" i="3"/>
  <c r="B396" i="3" s="1"/>
  <c r="I395" i="3"/>
  <c r="J395" i="3"/>
  <c r="AD395" i="3" s="1"/>
  <c r="M395" i="3"/>
  <c r="N395" i="3" s="1"/>
  <c r="W395" i="3" l="1"/>
  <c r="L395" i="3"/>
  <c r="AA396" i="3"/>
  <c r="Z396" i="3"/>
  <c r="P396" i="3"/>
  <c r="Q396" i="3" s="1"/>
  <c r="R396" i="3" s="1"/>
  <c r="S396" i="3" s="1"/>
  <c r="AC396" i="3"/>
  <c r="U395" i="3" l="1"/>
  <c r="Y394" i="3"/>
  <c r="T396" i="3"/>
  <c r="E396" i="3" l="1"/>
  <c r="H396" i="3" s="1"/>
  <c r="K396" i="3" s="1"/>
  <c r="AE396" i="3" s="1"/>
  <c r="AG396" i="3"/>
  <c r="AH396" i="3"/>
  <c r="D396" i="3"/>
  <c r="F396" i="3" l="1"/>
  <c r="G396" i="3"/>
  <c r="V396" i="3"/>
  <c r="A397" i="3"/>
  <c r="B397" i="3" s="1"/>
  <c r="P397" i="3" l="1"/>
  <c r="Q397" i="3" s="1"/>
  <c r="R397" i="3" s="1"/>
  <c r="S397" i="3" s="1"/>
  <c r="AC397" i="3"/>
  <c r="AA397" i="3"/>
  <c r="Z397" i="3"/>
  <c r="I396" i="3"/>
  <c r="W396" i="3" s="1"/>
  <c r="J396" i="3"/>
  <c r="AD396" i="3" s="1"/>
  <c r="M396" i="3"/>
  <c r="N396" i="3" s="1"/>
  <c r="T397" i="3" l="1"/>
  <c r="L396" i="3"/>
  <c r="U396" i="3" l="1"/>
  <c r="E397" i="3" s="1"/>
  <c r="H397" i="3" s="1"/>
  <c r="AG397" i="3"/>
  <c r="AH397" i="3"/>
  <c r="Y395" i="3"/>
  <c r="D397" i="3" l="1"/>
  <c r="F397" i="3" s="1"/>
  <c r="K397" i="3"/>
  <c r="AE397" i="3" s="1"/>
  <c r="G397" i="3" l="1"/>
  <c r="M397" i="3" s="1"/>
  <c r="N397" i="3" s="1"/>
  <c r="V397" i="3"/>
  <c r="A398" i="3"/>
  <c r="B398" i="3" s="1"/>
  <c r="I397" i="3" l="1"/>
  <c r="W397" i="3" s="1"/>
  <c r="J397" i="3"/>
  <c r="AC398" i="3"/>
  <c r="AA398" i="3"/>
  <c r="P398" i="3"/>
  <c r="Q398" i="3" s="1"/>
  <c r="R398" i="3" s="1"/>
  <c r="S398" i="3" s="1"/>
  <c r="Z398" i="3"/>
  <c r="L397" i="3" l="1"/>
  <c r="U397" i="3" s="1"/>
  <c r="AD397" i="3"/>
  <c r="T398" i="3"/>
  <c r="Y396" i="3" l="1"/>
  <c r="E398" i="3"/>
  <c r="H398" i="3" s="1"/>
  <c r="K398" i="3" s="1"/>
  <c r="AE398" i="3" s="1"/>
  <c r="D398" i="3"/>
  <c r="G398" i="3" s="1"/>
  <c r="AH398" i="3"/>
  <c r="AG398" i="3"/>
  <c r="F398" i="3" l="1"/>
  <c r="V398" i="3"/>
  <c r="A399" i="3"/>
  <c r="B399" i="3" s="1"/>
  <c r="I398" i="3"/>
  <c r="J398" i="3"/>
  <c r="AD398" i="3" s="1"/>
  <c r="M398" i="3"/>
  <c r="N398" i="3" s="1"/>
  <c r="L398" i="3" l="1"/>
  <c r="W398" i="3"/>
  <c r="Z399" i="3"/>
  <c r="P399" i="3"/>
  <c r="Q399" i="3" s="1"/>
  <c r="R399" i="3" s="1"/>
  <c r="S399" i="3" s="1"/>
  <c r="AA399" i="3"/>
  <c r="AC399" i="3"/>
  <c r="U398" i="3" l="1"/>
  <c r="Y397" i="3"/>
  <c r="T399" i="3"/>
  <c r="AH399" i="3" s="1"/>
  <c r="D399" i="3" l="1"/>
  <c r="G399" i="3" s="1"/>
  <c r="AG399" i="3"/>
  <c r="E399" i="3"/>
  <c r="H399" i="3" s="1"/>
  <c r="F399" i="3" l="1"/>
  <c r="I399" i="3"/>
  <c r="J399" i="3"/>
  <c r="AD399" i="3" s="1"/>
  <c r="M399" i="3"/>
  <c r="N399" i="3" s="1"/>
  <c r="K399" i="3"/>
  <c r="AE399" i="3" s="1"/>
  <c r="V399" i="3" l="1"/>
  <c r="W399" i="3" s="1"/>
  <c r="A400" i="3"/>
  <c r="B400" i="3" s="1"/>
  <c r="L399" i="3"/>
  <c r="U399" i="3" l="1"/>
  <c r="Y398" i="3"/>
  <c r="AC400" i="3"/>
  <c r="Z400" i="3"/>
  <c r="P400" i="3"/>
  <c r="Q400" i="3" s="1"/>
  <c r="R400" i="3" s="1"/>
  <c r="S400" i="3" s="1"/>
  <c r="AA400" i="3"/>
  <c r="T400" i="3" l="1"/>
  <c r="AH400" i="3" s="1"/>
  <c r="AG400" i="3" l="1"/>
  <c r="D400" i="3"/>
  <c r="G400" i="3" s="1"/>
  <c r="E400" i="3"/>
  <c r="H400" i="3" s="1"/>
  <c r="K400" i="3" s="1"/>
  <c r="AE400" i="3" s="1"/>
  <c r="F400" i="3" l="1"/>
  <c r="V400" i="3"/>
  <c r="A401" i="3"/>
  <c r="B401" i="3" s="1"/>
  <c r="I400" i="3"/>
  <c r="J400" i="3"/>
  <c r="AD400" i="3" s="1"/>
  <c r="M400" i="3"/>
  <c r="N400" i="3" s="1"/>
  <c r="W400" i="3" l="1"/>
  <c r="L400" i="3"/>
  <c r="AA401" i="3"/>
  <c r="Z401" i="3"/>
  <c r="AC401" i="3"/>
  <c r="P401" i="3"/>
  <c r="Q401" i="3" s="1"/>
  <c r="R401" i="3" s="1"/>
  <c r="S401" i="3" s="1"/>
  <c r="U400" i="3" l="1"/>
  <c r="Y399" i="3"/>
  <c r="T401" i="3"/>
  <c r="AG401" i="3" s="1"/>
  <c r="D401" i="3" l="1"/>
  <c r="E401" i="3"/>
  <c r="H401" i="3" s="1"/>
  <c r="K401" i="3" s="1"/>
  <c r="AE401" i="3" s="1"/>
  <c r="AH401" i="3"/>
  <c r="F401" i="3" l="1"/>
  <c r="G401" i="3"/>
  <c r="J401" i="3" s="1"/>
  <c r="AD401" i="3" s="1"/>
  <c r="V401" i="3"/>
  <c r="A402" i="3"/>
  <c r="B402" i="3" s="1"/>
  <c r="M401" i="3" l="1"/>
  <c r="N401" i="3" s="1"/>
  <c r="I401" i="3"/>
  <c r="W401" i="3" s="1"/>
  <c r="L401" i="3"/>
  <c r="AA402" i="3"/>
  <c r="AC402" i="3"/>
  <c r="Z402" i="3"/>
  <c r="P402" i="3"/>
  <c r="Q402" i="3" s="1"/>
  <c r="R402" i="3" s="1"/>
  <c r="S402" i="3" s="1"/>
  <c r="U401" i="3" l="1"/>
  <c r="Y400" i="3"/>
  <c r="T402" i="3"/>
  <c r="AG402" i="3" s="1"/>
  <c r="AH402" i="3" l="1"/>
  <c r="E402" i="3"/>
  <c r="H402" i="3" s="1"/>
  <c r="K402" i="3" s="1"/>
  <c r="AE402" i="3" s="1"/>
  <c r="D402" i="3"/>
  <c r="G402" i="3" s="1"/>
  <c r="F402" i="3" l="1"/>
  <c r="I402" i="3"/>
  <c r="J402" i="3"/>
  <c r="AD402" i="3" s="1"/>
  <c r="M402" i="3"/>
  <c r="N402" i="3" s="1"/>
  <c r="V402" i="3"/>
  <c r="A403" i="3"/>
  <c r="B403" i="3" s="1"/>
  <c r="W402" i="3" l="1"/>
  <c r="L402" i="3"/>
  <c r="AC403" i="3"/>
  <c r="AA403" i="3"/>
  <c r="P403" i="3"/>
  <c r="Q403" i="3" s="1"/>
  <c r="R403" i="3" s="1"/>
  <c r="S403" i="3" s="1"/>
  <c r="Z403" i="3"/>
  <c r="T403" i="3" l="1"/>
  <c r="AH403" i="3" s="1"/>
  <c r="U402" i="3"/>
  <c r="Y401" i="3"/>
  <c r="AG403" i="3" l="1"/>
  <c r="D403" i="3"/>
  <c r="E403" i="3"/>
  <c r="H403" i="3" s="1"/>
  <c r="F403" i="3" l="1"/>
  <c r="G403" i="3"/>
  <c r="K403" i="3"/>
  <c r="AE403" i="3" s="1"/>
  <c r="V403" i="3" l="1"/>
  <c r="A404" i="3"/>
  <c r="B404" i="3" s="1"/>
  <c r="I403" i="3"/>
  <c r="J403" i="3"/>
  <c r="AD403" i="3" s="1"/>
  <c r="M403" i="3"/>
  <c r="N403" i="3" s="1"/>
  <c r="W403" i="3" l="1"/>
  <c r="L403" i="3"/>
  <c r="P404" i="3"/>
  <c r="Q404" i="3" s="1"/>
  <c r="R404" i="3" s="1"/>
  <c r="S404" i="3" s="1"/>
  <c r="AA404" i="3"/>
  <c r="Z404" i="3"/>
  <c r="AC404" i="3"/>
  <c r="U403" i="3" l="1"/>
  <c r="Y402" i="3"/>
  <c r="T404" i="3"/>
  <c r="AG404" i="3" s="1"/>
  <c r="E404" i="3" l="1"/>
  <c r="H404" i="3" s="1"/>
  <c r="K404" i="3" s="1"/>
  <c r="AE404" i="3" s="1"/>
  <c r="AH404" i="3"/>
  <c r="D404" i="3"/>
  <c r="G404" i="3" s="1"/>
  <c r="F404" i="3" l="1"/>
  <c r="I404" i="3"/>
  <c r="J404" i="3"/>
  <c r="AD404" i="3" s="1"/>
  <c r="M404" i="3"/>
  <c r="N404" i="3" s="1"/>
  <c r="V404" i="3"/>
  <c r="A405" i="3"/>
  <c r="B405" i="3" s="1"/>
  <c r="W404" i="3" l="1"/>
  <c r="L404" i="3"/>
  <c r="P405" i="3"/>
  <c r="Q405" i="3" s="1"/>
  <c r="R405" i="3" s="1"/>
  <c r="S405" i="3" s="1"/>
  <c r="AC405" i="3"/>
  <c r="Z405" i="3"/>
  <c r="AD405" i="3"/>
  <c r="AA405" i="3"/>
  <c r="U404" i="3" l="1"/>
  <c r="Y403" i="3"/>
  <c r="T405" i="3"/>
  <c r="E405" i="3" l="1"/>
  <c r="H405" i="3" s="1"/>
  <c r="K405" i="3" s="1"/>
  <c r="AE405" i="3" s="1"/>
  <c r="AH405" i="3"/>
  <c r="D405" i="3"/>
  <c r="AG405" i="3"/>
  <c r="F405" i="3" l="1"/>
  <c r="G405" i="3"/>
  <c r="V405" i="3"/>
  <c r="A406" i="3"/>
  <c r="B406" i="3" s="1"/>
  <c r="AD406" i="3" l="1"/>
  <c r="AA406" i="3"/>
  <c r="AC406" i="3"/>
  <c r="Z406" i="3"/>
  <c r="P406" i="3"/>
  <c r="Q406" i="3" s="1"/>
  <c r="R406" i="3" s="1"/>
  <c r="S406" i="3" s="1"/>
  <c r="I405" i="3"/>
  <c r="W405" i="3" s="1"/>
  <c r="J405" i="3"/>
  <c r="M405" i="3"/>
  <c r="N405" i="3" s="1"/>
  <c r="T406" i="3" l="1"/>
  <c r="L405" i="3"/>
  <c r="U405" i="3" l="1"/>
  <c r="E406" i="3" s="1"/>
  <c r="H406" i="3" s="1"/>
  <c r="AH406" i="3"/>
  <c r="AG406" i="3"/>
  <c r="Y404" i="3"/>
  <c r="K406" i="3" l="1"/>
  <c r="AE406" i="3" s="1"/>
  <c r="D406" i="3"/>
  <c r="V406" i="3" l="1"/>
  <c r="A407" i="3"/>
  <c r="B407" i="3" s="1"/>
  <c r="F406" i="3"/>
  <c r="G406" i="3"/>
  <c r="I406" i="3" l="1"/>
  <c r="W406" i="3" s="1"/>
  <c r="J406" i="3"/>
  <c r="M406" i="3"/>
  <c r="N406" i="3" s="1"/>
  <c r="AC407" i="3"/>
  <c r="Z407" i="3"/>
  <c r="P407" i="3"/>
  <c r="Q407" i="3" s="1"/>
  <c r="R407" i="3" s="1"/>
  <c r="S407" i="3" s="1"/>
  <c r="AA407" i="3"/>
  <c r="L406" i="3" l="1"/>
  <c r="T407" i="3"/>
  <c r="U406" i="3" l="1"/>
  <c r="D407" i="3" s="1"/>
  <c r="AG407" i="3"/>
  <c r="AH407" i="3"/>
  <c r="Y405" i="3"/>
  <c r="G407" i="3" l="1"/>
  <c r="E407" i="3"/>
  <c r="H407" i="3" s="1"/>
  <c r="F407" i="3" l="1"/>
  <c r="I407" i="3"/>
  <c r="J407" i="3"/>
  <c r="AD407" i="3" s="1"/>
  <c r="M407" i="3"/>
  <c r="N407" i="3" s="1"/>
  <c r="K407" i="3"/>
  <c r="AE407" i="3" s="1"/>
  <c r="V407" i="3" l="1"/>
  <c r="W407" i="3" s="1"/>
  <c r="A408" i="3"/>
  <c r="B408" i="3" s="1"/>
  <c r="L407" i="3"/>
  <c r="U407" i="3" l="1"/>
  <c r="Y406" i="3"/>
  <c r="Z408" i="3"/>
  <c r="AC408" i="3"/>
  <c r="P408" i="3"/>
  <c r="Q408" i="3" s="1"/>
  <c r="R408" i="3" s="1"/>
  <c r="S408" i="3" s="1"/>
  <c r="AA408" i="3"/>
  <c r="T408" i="3" l="1"/>
  <c r="AH408" i="3" s="1"/>
  <c r="E408" i="3" l="1"/>
  <c r="H408" i="3" s="1"/>
  <c r="K408" i="3" s="1"/>
  <c r="AE408" i="3" s="1"/>
  <c r="D408" i="3"/>
  <c r="G408" i="3" s="1"/>
  <c r="AG408" i="3"/>
  <c r="F408" i="3" l="1"/>
  <c r="I408" i="3"/>
  <c r="J408" i="3"/>
  <c r="AD408" i="3" s="1"/>
  <c r="M408" i="3"/>
  <c r="N408" i="3" s="1"/>
  <c r="V408" i="3"/>
  <c r="A409" i="3"/>
  <c r="B409" i="3" s="1"/>
  <c r="W408" i="3" l="1"/>
  <c r="L408" i="3"/>
  <c r="AA409" i="3"/>
  <c r="AC409" i="3"/>
  <c r="P409" i="3"/>
  <c r="Q409" i="3" s="1"/>
  <c r="R409" i="3" s="1"/>
  <c r="S409" i="3" s="1"/>
  <c r="AD409" i="3"/>
  <c r="Z409" i="3"/>
  <c r="U408" i="3" l="1"/>
  <c r="Y407" i="3"/>
  <c r="T409" i="3"/>
  <c r="E409" i="3" l="1"/>
  <c r="H409" i="3" s="1"/>
  <c r="K409" i="3" s="1"/>
  <c r="AE409" i="3" s="1"/>
  <c r="AH409" i="3"/>
  <c r="D409" i="3"/>
  <c r="AG409" i="3"/>
  <c r="F409" i="3" l="1"/>
  <c r="G409" i="3"/>
  <c r="V409" i="3"/>
  <c r="A410" i="3"/>
  <c r="B410" i="3" s="1"/>
  <c r="P410" i="3" l="1"/>
  <c r="Q410" i="3" s="1"/>
  <c r="R410" i="3" s="1"/>
  <c r="S410" i="3" s="1"/>
  <c r="AA410" i="3"/>
  <c r="AC410" i="3"/>
  <c r="AD410" i="3"/>
  <c r="Z410" i="3"/>
  <c r="I409" i="3"/>
  <c r="W409" i="3" s="1"/>
  <c r="J409" i="3"/>
  <c r="M409" i="3"/>
  <c r="N409" i="3" s="1"/>
  <c r="T410" i="3" l="1"/>
  <c r="L409" i="3"/>
  <c r="AG410" i="3" l="1"/>
  <c r="U409" i="3"/>
  <c r="D410" i="3" s="1"/>
  <c r="AH410" i="3"/>
  <c r="Y408" i="3"/>
  <c r="E410" i="3" l="1"/>
  <c r="H410" i="3" s="1"/>
  <c r="K410" i="3" s="1"/>
  <c r="AE410" i="3" s="1"/>
  <c r="G410" i="3"/>
  <c r="F410" i="3" l="1"/>
  <c r="I410" i="3"/>
  <c r="J410" i="3"/>
  <c r="M410" i="3"/>
  <c r="N410" i="3" s="1"/>
  <c r="V410" i="3"/>
  <c r="A411" i="3"/>
  <c r="B411" i="3" s="1"/>
  <c r="W410" i="3" l="1"/>
  <c r="L410" i="3"/>
  <c r="AC411" i="3"/>
  <c r="P411" i="3"/>
  <c r="Q411" i="3" s="1"/>
  <c r="R411" i="3" s="1"/>
  <c r="S411" i="3" s="1"/>
  <c r="AA411" i="3"/>
  <c r="Z411" i="3"/>
  <c r="U410" i="3" l="1"/>
  <c r="Y409" i="3"/>
  <c r="T411" i="3"/>
  <c r="AG411" i="3" s="1"/>
  <c r="E411" i="3" l="1"/>
  <c r="H411" i="3" s="1"/>
  <c r="K411" i="3" s="1"/>
  <c r="AE411" i="3" s="1"/>
  <c r="AH411" i="3"/>
  <c r="D411" i="3"/>
  <c r="F411" i="3" l="1"/>
  <c r="G411" i="3"/>
  <c r="V411" i="3"/>
  <c r="A412" i="3"/>
  <c r="B412" i="3" s="1"/>
  <c r="AA412" i="3" l="1"/>
  <c r="AC412" i="3"/>
  <c r="P412" i="3"/>
  <c r="Q412" i="3" s="1"/>
  <c r="R412" i="3" s="1"/>
  <c r="S412" i="3" s="1"/>
  <c r="Z412" i="3"/>
  <c r="AD412" i="3"/>
  <c r="I411" i="3"/>
  <c r="W411" i="3" s="1"/>
  <c r="J411" i="3"/>
  <c r="AD411" i="3" s="1"/>
  <c r="M411" i="3"/>
  <c r="N411" i="3" s="1"/>
  <c r="T412" i="3" l="1"/>
  <c r="L411" i="3"/>
  <c r="U411" i="3" l="1"/>
  <c r="D412" i="3" s="1"/>
  <c r="AG412" i="3"/>
  <c r="AH412" i="3"/>
  <c r="Y410" i="3"/>
  <c r="G412" i="3" l="1"/>
  <c r="E412" i="3"/>
  <c r="H412" i="3" s="1"/>
  <c r="F412" i="3" l="1"/>
  <c r="I412" i="3"/>
  <c r="J412" i="3"/>
  <c r="M412" i="3"/>
  <c r="N412" i="3" s="1"/>
  <c r="K412" i="3"/>
  <c r="AE412" i="3" s="1"/>
  <c r="V412" i="3" l="1"/>
  <c r="W412" i="3" s="1"/>
  <c r="A413" i="3"/>
  <c r="B413" i="3" s="1"/>
  <c r="L412" i="3"/>
  <c r="U412" i="3" l="1"/>
  <c r="Y411" i="3"/>
  <c r="Z413" i="3"/>
  <c r="P413" i="3"/>
  <c r="Q413" i="3" s="1"/>
  <c r="R413" i="3" s="1"/>
  <c r="S413" i="3" s="1"/>
  <c r="AA413" i="3"/>
  <c r="AC413" i="3"/>
  <c r="AD413" i="3"/>
  <c r="T413" i="3" l="1"/>
  <c r="D413" i="3" s="1"/>
  <c r="E413" i="3" l="1"/>
  <c r="H413" i="3" s="1"/>
  <c r="K413" i="3" s="1"/>
  <c r="AE413" i="3" s="1"/>
  <c r="AH413" i="3"/>
  <c r="G413" i="3"/>
  <c r="AG413" i="3"/>
  <c r="F413" i="3" l="1"/>
  <c r="I413" i="3"/>
  <c r="J413" i="3"/>
  <c r="M413" i="3"/>
  <c r="N413" i="3" s="1"/>
  <c r="V413" i="3"/>
  <c r="A414" i="3"/>
  <c r="B414" i="3" s="1"/>
  <c r="L413" i="3" l="1"/>
  <c r="P414" i="3"/>
  <c r="Q414" i="3" s="1"/>
  <c r="R414" i="3" s="1"/>
  <c r="S414" i="3" s="1"/>
  <c r="Z414" i="3"/>
  <c r="AA414" i="3"/>
  <c r="AC414" i="3"/>
  <c r="W413" i="3"/>
  <c r="U413" i="3" l="1"/>
  <c r="Y412" i="3"/>
  <c r="T414" i="3"/>
  <c r="D414" i="3" l="1"/>
  <c r="G414" i="3" s="1"/>
  <c r="E414" i="3"/>
  <c r="H414" i="3" s="1"/>
  <c r="K414" i="3" s="1"/>
  <c r="AE414" i="3" s="1"/>
  <c r="AG414" i="3"/>
  <c r="AH414" i="3"/>
  <c r="F414" i="3" l="1"/>
  <c r="I414" i="3"/>
  <c r="J414" i="3"/>
  <c r="AD414" i="3" s="1"/>
  <c r="M414" i="3"/>
  <c r="N414" i="3" s="1"/>
  <c r="V414" i="3"/>
  <c r="A415" i="3"/>
  <c r="B415" i="3" s="1"/>
  <c r="W414" i="3" l="1"/>
  <c r="L414" i="3"/>
  <c r="P415" i="3"/>
  <c r="Q415" i="3" s="1"/>
  <c r="R415" i="3" s="1"/>
  <c r="S415" i="3" s="1"/>
  <c r="AA415" i="3"/>
  <c r="Z415" i="3"/>
  <c r="AC415" i="3"/>
  <c r="U414" i="3" l="1"/>
  <c r="Y413" i="3"/>
  <c r="T415" i="3"/>
  <c r="D415" i="3" l="1"/>
  <c r="G415" i="3" s="1"/>
  <c r="AG415" i="3"/>
  <c r="AH415" i="3"/>
  <c r="E415" i="3"/>
  <c r="H415" i="3" s="1"/>
  <c r="F415" i="3" l="1"/>
  <c r="K415" i="3"/>
  <c r="AE415" i="3" s="1"/>
  <c r="I415" i="3"/>
  <c r="J415" i="3"/>
  <c r="AD415" i="3" s="1"/>
  <c r="M415" i="3"/>
  <c r="N415" i="3" s="1"/>
  <c r="L415" i="3" l="1"/>
  <c r="V415" i="3"/>
  <c r="W415" i="3" s="1"/>
  <c r="A416" i="3"/>
  <c r="B416" i="3" s="1"/>
  <c r="Z416" i="3" l="1"/>
  <c r="AA416" i="3"/>
  <c r="P416" i="3"/>
  <c r="Q416" i="3" s="1"/>
  <c r="R416" i="3" s="1"/>
  <c r="S416" i="3" s="1"/>
  <c r="AC416" i="3"/>
  <c r="U415" i="3"/>
  <c r="Y414" i="3"/>
  <c r="T416" i="3" l="1"/>
  <c r="AG416" i="3" s="1"/>
  <c r="D416" i="3" l="1"/>
  <c r="G416" i="3" s="1"/>
  <c r="E416" i="3"/>
  <c r="H416" i="3" s="1"/>
  <c r="K416" i="3" s="1"/>
  <c r="AE416" i="3" s="1"/>
  <c r="AH416" i="3"/>
  <c r="F416" i="3" l="1"/>
  <c r="V416" i="3"/>
  <c r="A417" i="3"/>
  <c r="B417" i="3" s="1"/>
  <c r="I416" i="3"/>
  <c r="J416" i="3"/>
  <c r="AD416" i="3" s="1"/>
  <c r="M416" i="3"/>
  <c r="N416" i="3" s="1"/>
  <c r="W416" i="3" l="1"/>
  <c r="L416" i="3"/>
  <c r="Z417" i="3"/>
  <c r="AC417" i="3"/>
  <c r="AA417" i="3"/>
  <c r="P417" i="3"/>
  <c r="Q417" i="3" s="1"/>
  <c r="R417" i="3" s="1"/>
  <c r="S417" i="3" s="1"/>
  <c r="U416" i="3" l="1"/>
  <c r="Y415" i="3"/>
  <c r="T417" i="3"/>
  <c r="D417" i="3" l="1"/>
  <c r="G417" i="3" s="1"/>
  <c r="AH417" i="3"/>
  <c r="E417" i="3"/>
  <c r="H417" i="3" s="1"/>
  <c r="K417" i="3" s="1"/>
  <c r="AE417" i="3" s="1"/>
  <c r="AG417" i="3"/>
  <c r="F417" i="3" l="1"/>
  <c r="V417" i="3"/>
  <c r="A418" i="3"/>
  <c r="B418" i="3" s="1"/>
  <c r="I417" i="3"/>
  <c r="J417" i="3"/>
  <c r="AD417" i="3" s="1"/>
  <c r="M417" i="3"/>
  <c r="N417" i="3" s="1"/>
  <c r="W417" i="3" l="1"/>
  <c r="L417" i="3"/>
  <c r="Z418" i="3"/>
  <c r="AA418" i="3"/>
  <c r="AC418" i="3"/>
  <c r="P418" i="3"/>
  <c r="Q418" i="3" s="1"/>
  <c r="R418" i="3" s="1"/>
  <c r="S418" i="3" s="1"/>
  <c r="T418" i="3" l="1"/>
  <c r="U417" i="3"/>
  <c r="Y416" i="3"/>
  <c r="D418" i="3" l="1"/>
  <c r="G418" i="3" s="1"/>
  <c r="E418" i="3"/>
  <c r="H418" i="3" s="1"/>
  <c r="AG418" i="3"/>
  <c r="AH418" i="3"/>
  <c r="F418" i="3" l="1"/>
  <c r="I418" i="3"/>
  <c r="J418" i="3"/>
  <c r="AD418" i="3" s="1"/>
  <c r="M418" i="3"/>
  <c r="N418" i="3" s="1"/>
  <c r="K418" i="3"/>
  <c r="AE418" i="3" s="1"/>
  <c r="V418" i="3" l="1"/>
  <c r="W418" i="3" s="1"/>
  <c r="A419" i="3"/>
  <c r="B419" i="3" s="1"/>
  <c r="L418" i="3"/>
  <c r="U418" i="3" l="1"/>
  <c r="Y417" i="3"/>
  <c r="AA419" i="3"/>
  <c r="P419" i="3"/>
  <c r="Q419" i="3" s="1"/>
  <c r="R419" i="3" s="1"/>
  <c r="S419" i="3" s="1"/>
  <c r="Z419" i="3"/>
  <c r="AC419" i="3"/>
  <c r="T419" i="3" l="1"/>
  <c r="AG419" i="3" s="1"/>
  <c r="AH419" i="3" l="1"/>
  <c r="E419" i="3"/>
  <c r="H419" i="3" s="1"/>
  <c r="K419" i="3" s="1"/>
  <c r="AE419" i="3" s="1"/>
  <c r="D419" i="3"/>
  <c r="F419" i="3" l="1"/>
  <c r="G419" i="3"/>
  <c r="J419" i="3" s="1"/>
  <c r="AD419" i="3" s="1"/>
  <c r="V419" i="3"/>
  <c r="A420" i="3"/>
  <c r="B420" i="3" s="1"/>
  <c r="I419" i="3" l="1"/>
  <c r="W419" i="3" s="1"/>
  <c r="M419" i="3"/>
  <c r="N419" i="3" s="1"/>
  <c r="L419" i="3"/>
  <c r="AC420" i="3"/>
  <c r="AA420" i="3"/>
  <c r="Z420" i="3"/>
  <c r="P420" i="3"/>
  <c r="Q420" i="3" s="1"/>
  <c r="R420" i="3" s="1"/>
  <c r="S420" i="3" s="1"/>
  <c r="T420" i="3" l="1"/>
  <c r="AH420" i="3" s="1"/>
  <c r="U419" i="3"/>
  <c r="Y418" i="3"/>
  <c r="E420" i="3" l="1"/>
  <c r="H420" i="3" s="1"/>
  <c r="K420" i="3" s="1"/>
  <c r="AE420" i="3" s="1"/>
  <c r="D420" i="3"/>
  <c r="AG420" i="3"/>
  <c r="V420" i="3" l="1"/>
  <c r="A421" i="3"/>
  <c r="B421" i="3" s="1"/>
  <c r="F420" i="3"/>
  <c r="G420" i="3"/>
  <c r="I420" i="3" l="1"/>
  <c r="W420" i="3" s="1"/>
  <c r="J420" i="3"/>
  <c r="AD420" i="3" s="1"/>
  <c r="M420" i="3"/>
  <c r="N420" i="3" s="1"/>
  <c r="Z421" i="3"/>
  <c r="P421" i="3"/>
  <c r="Q421" i="3" s="1"/>
  <c r="R421" i="3" s="1"/>
  <c r="S421" i="3" s="1"/>
  <c r="AC421" i="3"/>
  <c r="AA421" i="3"/>
  <c r="T421" i="3" l="1"/>
  <c r="L420" i="3"/>
  <c r="U420" i="3" l="1"/>
  <c r="D421" i="3" s="1"/>
  <c r="AH421" i="3"/>
  <c r="AG421" i="3"/>
  <c r="Y419" i="3"/>
  <c r="E421" i="3" l="1"/>
  <c r="H421" i="3" s="1"/>
  <c r="K421" i="3" s="1"/>
  <c r="AE421" i="3" s="1"/>
  <c r="G421" i="3"/>
  <c r="F421" i="3" l="1"/>
  <c r="V421" i="3"/>
  <c r="A422" i="3"/>
  <c r="B422" i="3" s="1"/>
  <c r="I421" i="3"/>
  <c r="J421" i="3"/>
  <c r="AD421" i="3" s="1"/>
  <c r="M421" i="3"/>
  <c r="N421" i="3" s="1"/>
  <c r="W421" i="3" l="1"/>
  <c r="L421" i="3"/>
  <c r="Z422" i="3"/>
  <c r="P422" i="3"/>
  <c r="Q422" i="3" s="1"/>
  <c r="R422" i="3" s="1"/>
  <c r="S422" i="3" s="1"/>
  <c r="AC422" i="3"/>
  <c r="AA422" i="3"/>
  <c r="U421" i="3" l="1"/>
  <c r="Y420" i="3"/>
  <c r="T422" i="3"/>
  <c r="D422" i="3" l="1"/>
  <c r="G422" i="3" s="1"/>
  <c r="AG422" i="3"/>
  <c r="E422" i="3"/>
  <c r="H422" i="3" s="1"/>
  <c r="K422" i="3" s="1"/>
  <c r="AE422" i="3" s="1"/>
  <c r="AH422" i="3"/>
  <c r="F422" i="3" l="1"/>
  <c r="V422" i="3"/>
  <c r="A423" i="3"/>
  <c r="B423" i="3" s="1"/>
  <c r="I422" i="3"/>
  <c r="J422" i="3"/>
  <c r="AD422" i="3" s="1"/>
  <c r="M422" i="3"/>
  <c r="N422" i="3" s="1"/>
  <c r="L422" i="3" l="1"/>
  <c r="W422" i="3"/>
  <c r="P423" i="3"/>
  <c r="Q423" i="3" s="1"/>
  <c r="R423" i="3" s="1"/>
  <c r="S423" i="3" s="1"/>
  <c r="Z423" i="3"/>
  <c r="AC423" i="3"/>
  <c r="AA423" i="3"/>
  <c r="U422" i="3" l="1"/>
  <c r="Y421" i="3"/>
  <c r="T423" i="3"/>
  <c r="D423" i="3" l="1"/>
  <c r="G423" i="3" s="1"/>
  <c r="AH423" i="3"/>
  <c r="E423" i="3"/>
  <c r="H423" i="3" s="1"/>
  <c r="K423" i="3" s="1"/>
  <c r="AE423" i="3" s="1"/>
  <c r="AG423" i="3"/>
  <c r="F423" i="3" l="1"/>
  <c r="V423" i="3"/>
  <c r="A424" i="3"/>
  <c r="B424" i="3" s="1"/>
  <c r="I423" i="3"/>
  <c r="J423" i="3"/>
  <c r="AD423" i="3" s="1"/>
  <c r="M423" i="3"/>
  <c r="N423" i="3" s="1"/>
  <c r="W423" i="3" l="1"/>
  <c r="L423" i="3"/>
  <c r="AA424" i="3"/>
  <c r="P424" i="3"/>
  <c r="Q424" i="3" s="1"/>
  <c r="R424" i="3" s="1"/>
  <c r="S424" i="3" s="1"/>
  <c r="Z424" i="3"/>
  <c r="AC424" i="3"/>
  <c r="T424" i="3" l="1"/>
  <c r="U423" i="3"/>
  <c r="Y422" i="3"/>
  <c r="D424" i="3" l="1"/>
  <c r="G424" i="3" s="1"/>
  <c r="E424" i="3"/>
  <c r="H424" i="3" s="1"/>
  <c r="K424" i="3" s="1"/>
  <c r="AE424" i="3" s="1"/>
  <c r="AG424" i="3"/>
  <c r="AH424" i="3"/>
  <c r="F424" i="3" l="1"/>
  <c r="V424" i="3"/>
  <c r="A425" i="3"/>
  <c r="B425" i="3" s="1"/>
  <c r="I424" i="3"/>
  <c r="J424" i="3"/>
  <c r="AD424" i="3" s="1"/>
  <c r="M424" i="3"/>
  <c r="N424" i="3" s="1"/>
  <c r="W424" i="3" l="1"/>
  <c r="L424" i="3"/>
  <c r="Z425" i="3"/>
  <c r="AA425" i="3"/>
  <c r="P425" i="3"/>
  <c r="Q425" i="3" s="1"/>
  <c r="R425" i="3" s="1"/>
  <c r="S425" i="3" s="1"/>
  <c r="AC425" i="3"/>
  <c r="AD425" i="3"/>
  <c r="U424" i="3" l="1"/>
  <c r="Y423" i="3"/>
  <c r="T425" i="3"/>
  <c r="E425" i="3" l="1"/>
  <c r="H425" i="3" s="1"/>
  <c r="K425" i="3" s="1"/>
  <c r="AE425" i="3" s="1"/>
  <c r="D425" i="3"/>
  <c r="G425" i="3" s="1"/>
  <c r="AH425" i="3"/>
  <c r="AG425" i="3"/>
  <c r="F425" i="3" l="1"/>
  <c r="I425" i="3"/>
  <c r="J425" i="3"/>
  <c r="M425" i="3"/>
  <c r="N425" i="3" s="1"/>
  <c r="V425" i="3"/>
  <c r="A426" i="3"/>
  <c r="B426" i="3" s="1"/>
  <c r="L425" i="3" l="1"/>
  <c r="W425" i="3"/>
  <c r="P426" i="3"/>
  <c r="Q426" i="3" s="1"/>
  <c r="R426" i="3" s="1"/>
  <c r="S426" i="3" s="1"/>
  <c r="AA426" i="3"/>
  <c r="AD426" i="3"/>
  <c r="Z426" i="3"/>
  <c r="AC426" i="3"/>
  <c r="U425" i="3" l="1"/>
  <c r="Y424" i="3"/>
  <c r="T426" i="3"/>
  <c r="AH426" i="3" s="1"/>
  <c r="E426" i="3" l="1"/>
  <c r="H426" i="3" s="1"/>
  <c r="D426" i="3"/>
  <c r="AG426" i="3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W426" i="3" l="1"/>
  <c r="L426" i="3"/>
  <c r="P427" i="3"/>
  <c r="Q427" i="3" s="1"/>
  <c r="R427" i="3" s="1"/>
  <c r="S427" i="3" s="1"/>
  <c r="AC427" i="3"/>
  <c r="Z427" i="3"/>
  <c r="AA427" i="3"/>
  <c r="U426" i="3" l="1"/>
  <c r="Y425" i="3"/>
  <c r="T427" i="3"/>
  <c r="AG427" i="3" s="1"/>
  <c r="D427" i="3" l="1"/>
  <c r="G427" i="3" s="1"/>
  <c r="E427" i="3"/>
  <c r="H427" i="3" s="1"/>
  <c r="K427" i="3" s="1"/>
  <c r="AE427" i="3" s="1"/>
  <c r="AH427" i="3"/>
  <c r="F427" i="3" l="1"/>
  <c r="I427" i="3"/>
  <c r="J427" i="3"/>
  <c r="AD427" i="3" s="1"/>
  <c r="M427" i="3"/>
  <c r="N427" i="3" s="1"/>
  <c r="V427" i="3"/>
  <c r="A428" i="3"/>
  <c r="B428" i="3" s="1"/>
  <c r="W427" i="3" l="1"/>
  <c r="L427" i="3"/>
  <c r="P428" i="3"/>
  <c r="Q428" i="3" s="1"/>
  <c r="R428" i="3" s="1"/>
  <c r="S428" i="3" s="1"/>
  <c r="AC428" i="3"/>
  <c r="Z428" i="3"/>
  <c r="AA428" i="3"/>
  <c r="U427" i="3" l="1"/>
  <c r="Y426" i="3"/>
  <c r="T428" i="3"/>
  <c r="AG428" i="3" s="1"/>
  <c r="E428" i="3" l="1"/>
  <c r="H428" i="3" s="1"/>
  <c r="AH428" i="3"/>
  <c r="D428" i="3"/>
  <c r="K428" i="3" l="1"/>
  <c r="AE428" i="3" s="1"/>
  <c r="F428" i="3"/>
  <c r="G428" i="3"/>
  <c r="I428" i="3" l="1"/>
  <c r="J428" i="3"/>
  <c r="AD428" i="3" s="1"/>
  <c r="M428" i="3"/>
  <c r="N428" i="3" s="1"/>
  <c r="V428" i="3"/>
  <c r="A429" i="3"/>
  <c r="B429" i="3" s="1"/>
  <c r="W428" i="3" l="1"/>
  <c r="AD429" i="3"/>
  <c r="Z429" i="3"/>
  <c r="AC429" i="3"/>
  <c r="P429" i="3"/>
  <c r="Q429" i="3" s="1"/>
  <c r="R429" i="3" s="1"/>
  <c r="S429" i="3" s="1"/>
  <c r="AA429" i="3"/>
  <c r="L428" i="3"/>
  <c r="U428" i="3" l="1"/>
  <c r="Y427" i="3"/>
  <c r="T429" i="3"/>
  <c r="D429" i="3" l="1"/>
  <c r="G429" i="3" s="1"/>
  <c r="E429" i="3"/>
  <c r="H429" i="3" s="1"/>
  <c r="K429" i="3" s="1"/>
  <c r="AE429" i="3" s="1"/>
  <c r="AG429" i="3"/>
  <c r="AH429" i="3"/>
  <c r="F429" i="3" l="1"/>
  <c r="I429" i="3"/>
  <c r="J429" i="3"/>
  <c r="M429" i="3"/>
  <c r="N429" i="3" s="1"/>
  <c r="V429" i="3"/>
  <c r="A430" i="3"/>
  <c r="B430" i="3" s="1"/>
  <c r="L429" i="3" l="1"/>
  <c r="W429" i="3"/>
  <c r="AA430" i="3"/>
  <c r="Z430" i="3"/>
  <c r="P430" i="3"/>
  <c r="Q430" i="3" s="1"/>
  <c r="R430" i="3" s="1"/>
  <c r="S430" i="3" s="1"/>
  <c r="AC430" i="3"/>
  <c r="AD430" i="3"/>
  <c r="U429" i="3" l="1"/>
  <c r="Y428" i="3"/>
  <c r="T430" i="3"/>
  <c r="D430" i="3" l="1"/>
  <c r="G430" i="3" s="1"/>
  <c r="AH430" i="3"/>
  <c r="E430" i="3"/>
  <c r="H430" i="3" s="1"/>
  <c r="AG430" i="3"/>
  <c r="F430" i="3" l="1"/>
  <c r="I430" i="3"/>
  <c r="J430" i="3"/>
  <c r="M430" i="3"/>
  <c r="N430" i="3" s="1"/>
  <c r="K430" i="3"/>
  <c r="AE430" i="3" s="1"/>
  <c r="V430" i="3" l="1"/>
  <c r="W430" i="3" s="1"/>
  <c r="A431" i="3"/>
  <c r="B431" i="3" s="1"/>
  <c r="L430" i="3"/>
  <c r="U430" i="3" l="1"/>
  <c r="Y429" i="3"/>
  <c r="AC431" i="3"/>
  <c r="Z431" i="3"/>
  <c r="P431" i="3"/>
  <c r="Q431" i="3" s="1"/>
  <c r="R431" i="3" s="1"/>
  <c r="S431" i="3" s="1"/>
  <c r="AA431" i="3"/>
  <c r="T431" i="3" l="1"/>
  <c r="AH431" i="3" s="1"/>
  <c r="E431" i="3" l="1"/>
  <c r="H431" i="3" s="1"/>
  <c r="AG431" i="3"/>
  <c r="D431" i="3"/>
  <c r="K431" i="3" l="1"/>
  <c r="AE431" i="3" s="1"/>
  <c r="F431" i="3"/>
  <c r="G431" i="3"/>
  <c r="V431" i="3" l="1"/>
  <c r="A432" i="3"/>
  <c r="B432" i="3" s="1"/>
  <c r="I431" i="3"/>
  <c r="J431" i="3"/>
  <c r="AD431" i="3" s="1"/>
  <c r="M431" i="3"/>
  <c r="N431" i="3" s="1"/>
  <c r="W431" i="3" l="1"/>
  <c r="L431" i="3"/>
  <c r="AA432" i="3"/>
  <c r="P432" i="3"/>
  <c r="Q432" i="3" s="1"/>
  <c r="R432" i="3" s="1"/>
  <c r="S432" i="3" s="1"/>
  <c r="AC432" i="3"/>
  <c r="Z432" i="3"/>
  <c r="AD432" i="3"/>
  <c r="T432" i="3" l="1"/>
  <c r="AH432" i="3" s="1"/>
  <c r="U431" i="3"/>
  <c r="Y430" i="3"/>
  <c r="AG432" i="3" l="1"/>
  <c r="E432" i="3"/>
  <c r="H432" i="3" s="1"/>
  <c r="D432" i="3"/>
  <c r="K432" i="3" l="1"/>
  <c r="AE432" i="3" s="1"/>
  <c r="F432" i="3"/>
  <c r="G432" i="3"/>
  <c r="I432" i="3" l="1"/>
  <c r="J432" i="3"/>
  <c r="M432" i="3"/>
  <c r="N432" i="3" s="1"/>
  <c r="V432" i="3"/>
  <c r="A433" i="3"/>
  <c r="B433" i="3" s="1"/>
  <c r="W432" i="3" l="1"/>
  <c r="L432" i="3"/>
  <c r="P433" i="3"/>
  <c r="Q433" i="3" s="1"/>
  <c r="R433" i="3" s="1"/>
  <c r="S433" i="3" s="1"/>
  <c r="AC433" i="3"/>
  <c r="Z433" i="3"/>
  <c r="AA433" i="3"/>
  <c r="AD433" i="3"/>
  <c r="U432" i="3" l="1"/>
  <c r="Y431" i="3"/>
  <c r="T433" i="3"/>
  <c r="E433" i="3" l="1"/>
  <c r="H433" i="3" s="1"/>
  <c r="K433" i="3" s="1"/>
  <c r="AE433" i="3" s="1"/>
  <c r="D433" i="3"/>
  <c r="AG433" i="3"/>
  <c r="AH433" i="3"/>
  <c r="F433" i="3" l="1"/>
  <c r="G433" i="3"/>
  <c r="M433" i="3" s="1"/>
  <c r="N433" i="3" s="1"/>
  <c r="V433" i="3"/>
  <c r="A434" i="3"/>
  <c r="B434" i="3" s="1"/>
  <c r="I433" i="3" l="1"/>
  <c r="W433" i="3" s="1"/>
  <c r="J433" i="3"/>
  <c r="L433" i="3" s="1"/>
  <c r="P434" i="3"/>
  <c r="Q434" i="3" s="1"/>
  <c r="R434" i="3" s="1"/>
  <c r="S434" i="3" s="1"/>
  <c r="Z434" i="3"/>
  <c r="AA434" i="3"/>
  <c r="AC434" i="3"/>
  <c r="U433" i="3" l="1"/>
  <c r="Y432" i="3"/>
  <c r="T434" i="3"/>
  <c r="AH434" i="3" s="1"/>
  <c r="E434" i="3" l="1"/>
  <c r="H434" i="3" s="1"/>
  <c r="K434" i="3" s="1"/>
  <c r="AE434" i="3" s="1"/>
  <c r="AG434" i="3"/>
  <c r="D434" i="3"/>
  <c r="F434" i="3" l="1"/>
  <c r="G434" i="3"/>
  <c r="M434" i="3" s="1"/>
  <c r="N434" i="3" s="1"/>
  <c r="V434" i="3"/>
  <c r="A435" i="3"/>
  <c r="B435" i="3" s="1"/>
  <c r="I434" i="3" l="1"/>
  <c r="W434" i="3" s="1"/>
  <c r="J434" i="3"/>
  <c r="P435" i="3"/>
  <c r="Q435" i="3" s="1"/>
  <c r="R435" i="3" s="1"/>
  <c r="S435" i="3" s="1"/>
  <c r="AA435" i="3"/>
  <c r="AD435" i="3"/>
  <c r="AC435" i="3"/>
  <c r="Z435" i="3"/>
  <c r="L434" i="3" l="1"/>
  <c r="Y433" i="3" s="1"/>
  <c r="AD434" i="3"/>
  <c r="T435" i="3"/>
  <c r="U434" i="3" l="1"/>
  <c r="E435" i="3" s="1"/>
  <c r="H435" i="3" s="1"/>
  <c r="AG435" i="3"/>
  <c r="AH435" i="3"/>
  <c r="D435" i="3" l="1"/>
  <c r="G435" i="3" s="1"/>
  <c r="I435" i="3" s="1"/>
  <c r="K435" i="3"/>
  <c r="AE435" i="3" s="1"/>
  <c r="J435" i="3" l="1"/>
  <c r="L435" i="3" s="1"/>
  <c r="M435" i="3"/>
  <c r="N435" i="3" s="1"/>
  <c r="F435" i="3"/>
  <c r="V435" i="3"/>
  <c r="W435" i="3" s="1"/>
  <c r="A436" i="3"/>
  <c r="B436" i="3" s="1"/>
  <c r="AC436" i="3" l="1"/>
  <c r="Z436" i="3"/>
  <c r="P436" i="3"/>
  <c r="Q436" i="3" s="1"/>
  <c r="R436" i="3" s="1"/>
  <c r="S436" i="3" s="1"/>
  <c r="AA436" i="3"/>
  <c r="AD436" i="3"/>
  <c r="U435" i="3"/>
  <c r="Y434" i="3"/>
  <c r="T436" i="3" l="1"/>
  <c r="E436" i="3" l="1"/>
  <c r="H436" i="3" s="1"/>
  <c r="D436" i="3"/>
  <c r="AH436" i="3"/>
  <c r="AG436" i="3"/>
  <c r="F436" i="3" l="1"/>
  <c r="G436" i="3"/>
  <c r="K436" i="3"/>
  <c r="AE436" i="3" s="1"/>
  <c r="I436" i="3" l="1"/>
  <c r="J436" i="3"/>
  <c r="M436" i="3"/>
  <c r="N436" i="3" s="1"/>
  <c r="V436" i="3"/>
  <c r="A437" i="3"/>
  <c r="B437" i="3" s="1"/>
  <c r="W436" i="3" l="1"/>
  <c r="L436" i="3"/>
  <c r="AC437" i="3"/>
  <c r="AA437" i="3"/>
  <c r="P437" i="3"/>
  <c r="Q437" i="3" s="1"/>
  <c r="R437" i="3" s="1"/>
  <c r="S437" i="3" s="1"/>
  <c r="Z437" i="3"/>
  <c r="U436" i="3" l="1"/>
  <c r="Y435" i="3"/>
  <c r="T437" i="3"/>
  <c r="AH437" i="3" s="1"/>
  <c r="D437" i="3" l="1"/>
  <c r="G437" i="3" s="1"/>
  <c r="E437" i="3"/>
  <c r="H437" i="3" s="1"/>
  <c r="K437" i="3" s="1"/>
  <c r="AE437" i="3" s="1"/>
  <c r="AG437" i="3"/>
  <c r="F437" i="3" l="1"/>
  <c r="I437" i="3"/>
  <c r="J437" i="3"/>
  <c r="AD437" i="3" s="1"/>
  <c r="M437" i="3"/>
  <c r="N437" i="3" s="1"/>
  <c r="V437" i="3"/>
  <c r="A438" i="3"/>
  <c r="B438" i="3" s="1"/>
  <c r="W437" i="3" l="1"/>
  <c r="L437" i="3"/>
  <c r="Z438" i="3"/>
  <c r="P438" i="3"/>
  <c r="Q438" i="3" s="1"/>
  <c r="R438" i="3" s="1"/>
  <c r="S438" i="3" s="1"/>
  <c r="AC438" i="3"/>
  <c r="AA438" i="3"/>
  <c r="U437" i="3" l="1"/>
  <c r="Y436" i="3"/>
  <c r="T438" i="3"/>
  <c r="E438" i="3" l="1"/>
  <c r="H438" i="3" s="1"/>
  <c r="K438" i="3" s="1"/>
  <c r="AE438" i="3" s="1"/>
  <c r="D438" i="3"/>
  <c r="AH438" i="3"/>
  <c r="AG438" i="3"/>
  <c r="V438" i="3" l="1"/>
  <c r="A439" i="3"/>
  <c r="B439" i="3" s="1"/>
  <c r="F438" i="3"/>
  <c r="G438" i="3"/>
  <c r="I438" i="3" l="1"/>
  <c r="W438" i="3" s="1"/>
  <c r="J438" i="3"/>
  <c r="AD438" i="3" s="1"/>
  <c r="M438" i="3"/>
  <c r="N438" i="3" s="1"/>
  <c r="Z439" i="3"/>
  <c r="P439" i="3"/>
  <c r="Q439" i="3" s="1"/>
  <c r="R439" i="3" s="1"/>
  <c r="S439" i="3" s="1"/>
  <c r="AD439" i="3"/>
  <c r="AC439" i="3"/>
  <c r="AA439" i="3"/>
  <c r="T439" i="3" l="1"/>
  <c r="L438" i="3"/>
  <c r="AG439" i="3" l="1"/>
  <c r="AH439" i="3"/>
  <c r="U438" i="3"/>
  <c r="E439" i="3" s="1"/>
  <c r="H439" i="3" s="1"/>
  <c r="Y437" i="3"/>
  <c r="D439" i="3" l="1"/>
  <c r="G439" i="3" s="1"/>
  <c r="K439" i="3"/>
  <c r="AE439" i="3" s="1"/>
  <c r="F439" i="3" l="1"/>
  <c r="V439" i="3"/>
  <c r="A440" i="3"/>
  <c r="B440" i="3" s="1"/>
  <c r="I439" i="3"/>
  <c r="J439" i="3"/>
  <c r="M439" i="3"/>
  <c r="N439" i="3" s="1"/>
  <c r="W439" i="3" l="1"/>
  <c r="L439" i="3"/>
  <c r="Z440" i="3"/>
  <c r="AC440" i="3"/>
  <c r="P440" i="3"/>
  <c r="Q440" i="3" s="1"/>
  <c r="R440" i="3" s="1"/>
  <c r="S440" i="3" s="1"/>
  <c r="AA440" i="3"/>
  <c r="AD440" i="3"/>
  <c r="T440" i="3" l="1"/>
  <c r="AH440" i="3" s="1"/>
  <c r="U439" i="3"/>
  <c r="Y438" i="3"/>
  <c r="AG440" i="3" l="1"/>
  <c r="D440" i="3"/>
  <c r="E440" i="3"/>
  <c r="H440" i="3" s="1"/>
  <c r="K440" i="3" l="1"/>
  <c r="AE440" i="3" s="1"/>
  <c r="F440" i="3"/>
  <c r="G440" i="3"/>
  <c r="I440" i="3" l="1"/>
  <c r="J440" i="3"/>
  <c r="M440" i="3"/>
  <c r="N440" i="3" s="1"/>
  <c r="V440" i="3"/>
  <c r="A441" i="3"/>
  <c r="B441" i="3" s="1"/>
  <c r="W440" i="3" l="1"/>
  <c r="L440" i="3"/>
  <c r="P441" i="3"/>
  <c r="Q441" i="3" s="1"/>
  <c r="R441" i="3" s="1"/>
  <c r="S441" i="3" s="1"/>
  <c r="AC441" i="3"/>
  <c r="Z441" i="3"/>
  <c r="AA441" i="3"/>
  <c r="T441" i="3" l="1"/>
  <c r="AH441" i="3" s="1"/>
  <c r="U440" i="3"/>
  <c r="Y439" i="3"/>
  <c r="E441" i="3" l="1"/>
  <c r="H441" i="3" s="1"/>
  <c r="K441" i="3" s="1"/>
  <c r="AE441" i="3" s="1"/>
  <c r="AG441" i="3"/>
  <c r="D441" i="3"/>
  <c r="V441" i="3" l="1"/>
  <c r="A442" i="3"/>
  <c r="B442" i="3" s="1"/>
  <c r="F441" i="3"/>
  <c r="G441" i="3"/>
  <c r="I441" i="3" l="1"/>
  <c r="W441" i="3" s="1"/>
  <c r="J441" i="3"/>
  <c r="AD441" i="3" s="1"/>
  <c r="M441" i="3"/>
  <c r="N441" i="3" s="1"/>
  <c r="AC442" i="3"/>
  <c r="AA442" i="3"/>
  <c r="P442" i="3"/>
  <c r="Q442" i="3" s="1"/>
  <c r="R442" i="3" s="1"/>
  <c r="S442" i="3" s="1"/>
  <c r="Z442" i="3"/>
  <c r="T442" i="3" l="1"/>
  <c r="L441" i="3"/>
  <c r="U441" i="3" l="1"/>
  <c r="D442" i="3" s="1"/>
  <c r="AH442" i="3"/>
  <c r="AG442" i="3"/>
  <c r="Y440" i="3"/>
  <c r="G442" i="3" l="1"/>
  <c r="E442" i="3"/>
  <c r="H442" i="3" s="1"/>
  <c r="I442" i="3" l="1"/>
  <c r="J442" i="3"/>
  <c r="AD442" i="3" s="1"/>
  <c r="M442" i="3"/>
  <c r="N442" i="3" s="1"/>
  <c r="F442" i="3"/>
  <c r="K442" i="3"/>
  <c r="AE442" i="3" s="1"/>
  <c r="V442" i="3" l="1"/>
  <c r="W442" i="3" s="1"/>
  <c r="A443" i="3"/>
  <c r="B443" i="3" s="1"/>
  <c r="L442" i="3"/>
  <c r="U442" i="3" l="1"/>
  <c r="Y441" i="3"/>
  <c r="Z443" i="3"/>
  <c r="P443" i="3"/>
  <c r="Q443" i="3" s="1"/>
  <c r="R443" i="3" s="1"/>
  <c r="S443" i="3" s="1"/>
  <c r="AC443" i="3"/>
  <c r="AA443" i="3"/>
  <c r="T443" i="3" l="1"/>
  <c r="D443" i="3" s="1"/>
  <c r="E443" i="3" l="1"/>
  <c r="H443" i="3" s="1"/>
  <c r="K443" i="3" s="1"/>
  <c r="AE443" i="3" s="1"/>
  <c r="G443" i="3"/>
  <c r="AG443" i="3"/>
  <c r="AH443" i="3"/>
  <c r="F443" i="3" l="1"/>
  <c r="V443" i="3"/>
  <c r="A444" i="3"/>
  <c r="B444" i="3" s="1"/>
  <c r="I443" i="3"/>
  <c r="J443" i="3"/>
  <c r="AD443" i="3" s="1"/>
  <c r="M443" i="3"/>
  <c r="N443" i="3" s="1"/>
  <c r="W443" i="3" l="1"/>
  <c r="L443" i="3"/>
  <c r="Z444" i="3"/>
  <c r="P444" i="3"/>
  <c r="Q444" i="3" s="1"/>
  <c r="R444" i="3" s="1"/>
  <c r="S444" i="3" s="1"/>
  <c r="AA444" i="3"/>
  <c r="AC444" i="3"/>
  <c r="U443" i="3" l="1"/>
  <c r="Y442" i="3"/>
  <c r="T444" i="3"/>
  <c r="AG444" i="3" s="1"/>
  <c r="AH444" i="3" l="1"/>
  <c r="D444" i="3"/>
  <c r="E444" i="3"/>
  <c r="H444" i="3" s="1"/>
  <c r="F444" i="3" l="1"/>
  <c r="G444" i="3"/>
  <c r="K444" i="3"/>
  <c r="AE444" i="3" s="1"/>
  <c r="I444" i="3" l="1"/>
  <c r="J444" i="3"/>
  <c r="AD444" i="3" s="1"/>
  <c r="M444" i="3"/>
  <c r="N444" i="3" s="1"/>
  <c r="V444" i="3"/>
  <c r="A445" i="3"/>
  <c r="B445" i="3" s="1"/>
  <c r="W444" i="3" l="1"/>
  <c r="L444" i="3"/>
  <c r="AA445" i="3"/>
  <c r="P445" i="3"/>
  <c r="Q445" i="3" s="1"/>
  <c r="R445" i="3" s="1"/>
  <c r="S445" i="3" s="1"/>
  <c r="Z445" i="3"/>
  <c r="AC445" i="3"/>
  <c r="T445" i="3" l="1"/>
  <c r="U444" i="3"/>
  <c r="Y443" i="3"/>
  <c r="D445" i="3" l="1"/>
  <c r="G445" i="3" s="1"/>
  <c r="AG445" i="3"/>
  <c r="E445" i="3"/>
  <c r="H445" i="3" s="1"/>
  <c r="AH445" i="3"/>
  <c r="K445" i="3" l="1"/>
  <c r="AE445" i="3" s="1"/>
  <c r="I445" i="3"/>
  <c r="J445" i="3"/>
  <c r="AD445" i="3" s="1"/>
  <c r="M445" i="3"/>
  <c r="N445" i="3" s="1"/>
  <c r="F445" i="3"/>
  <c r="L445" i="3" l="1"/>
  <c r="V445" i="3"/>
  <c r="W445" i="3" s="1"/>
  <c r="A446" i="3"/>
  <c r="B446" i="3" s="1"/>
  <c r="AC446" i="3" l="1"/>
  <c r="P446" i="3"/>
  <c r="Q446" i="3" s="1"/>
  <c r="R446" i="3" s="1"/>
  <c r="S446" i="3" s="1"/>
  <c r="Z446" i="3"/>
  <c r="AA446" i="3"/>
  <c r="U445" i="3"/>
  <c r="Y444" i="3"/>
  <c r="T446" i="3" l="1"/>
  <c r="D446" i="3" s="1"/>
  <c r="AG446" i="3" l="1"/>
  <c r="G446" i="3"/>
  <c r="E446" i="3"/>
  <c r="H446" i="3" s="1"/>
  <c r="AH446" i="3"/>
  <c r="K446" i="3" l="1"/>
  <c r="AE446" i="3" s="1"/>
  <c r="F446" i="3"/>
  <c r="I446" i="3"/>
  <c r="J446" i="3"/>
  <c r="AD446" i="3" s="1"/>
  <c r="M446" i="3"/>
  <c r="N446" i="3" s="1"/>
  <c r="L446" i="3" l="1"/>
  <c r="V446" i="3"/>
  <c r="W446" i="3" s="1"/>
  <c r="A447" i="3"/>
  <c r="B447" i="3" s="1"/>
  <c r="Z447" i="3" l="1"/>
  <c r="P447" i="3"/>
  <c r="Q447" i="3" s="1"/>
  <c r="R447" i="3" s="1"/>
  <c r="S447" i="3" s="1"/>
  <c r="AC447" i="3"/>
  <c r="AA447" i="3"/>
  <c r="U446" i="3"/>
  <c r="Y445" i="3"/>
  <c r="T447" i="3" l="1"/>
  <c r="AG447" i="3" s="1"/>
  <c r="D447" i="3" l="1"/>
  <c r="G447" i="3" s="1"/>
  <c r="AH447" i="3"/>
  <c r="E447" i="3"/>
  <c r="H447" i="3" s="1"/>
  <c r="K447" i="3" s="1"/>
  <c r="AE447" i="3" s="1"/>
  <c r="F447" i="3" l="1"/>
  <c r="I447" i="3"/>
  <c r="J447" i="3"/>
  <c r="AD447" i="3" s="1"/>
  <c r="M447" i="3"/>
  <c r="N447" i="3" s="1"/>
  <c r="V447" i="3"/>
  <c r="A448" i="3"/>
  <c r="B448" i="3" s="1"/>
  <c r="W447" i="3" l="1"/>
  <c r="L447" i="3"/>
  <c r="Z448" i="3"/>
  <c r="AA448" i="3"/>
  <c r="P448" i="3"/>
  <c r="Q448" i="3" s="1"/>
  <c r="R448" i="3" s="1"/>
  <c r="S448" i="3" s="1"/>
  <c r="AC448" i="3"/>
  <c r="T448" i="3" l="1"/>
  <c r="AG448" i="3" s="1"/>
  <c r="U447" i="3"/>
  <c r="Y446" i="3"/>
  <c r="D448" i="3" l="1"/>
  <c r="G448" i="3" s="1"/>
  <c r="E448" i="3"/>
  <c r="H448" i="3" s="1"/>
  <c r="AH448" i="3"/>
  <c r="F448" i="3" l="1"/>
  <c r="I448" i="3"/>
  <c r="J448" i="3"/>
  <c r="AD448" i="3" s="1"/>
  <c r="M448" i="3"/>
  <c r="N448" i="3" s="1"/>
  <c r="K448" i="3"/>
  <c r="AE448" i="3" s="1"/>
  <c r="V448" i="3" l="1"/>
  <c r="W448" i="3" s="1"/>
  <c r="A449" i="3"/>
  <c r="B449" i="3" s="1"/>
  <c r="L448" i="3"/>
  <c r="U448" i="3" l="1"/>
  <c r="Y447" i="3"/>
  <c r="P449" i="3"/>
  <c r="Q449" i="3" s="1"/>
  <c r="R449" i="3" s="1"/>
  <c r="S449" i="3" s="1"/>
  <c r="AA449" i="3"/>
  <c r="Z449" i="3"/>
  <c r="AC449" i="3"/>
  <c r="T449" i="3" l="1"/>
  <c r="D449" i="3" s="1"/>
  <c r="G449" i="3" l="1"/>
  <c r="AG449" i="3"/>
  <c r="AH449" i="3"/>
  <c r="E449" i="3"/>
  <c r="H449" i="3" s="1"/>
  <c r="K449" i="3" l="1"/>
  <c r="AE449" i="3" s="1"/>
  <c r="F449" i="3"/>
  <c r="I449" i="3"/>
  <c r="J449" i="3"/>
  <c r="AD449" i="3" s="1"/>
  <c r="M449" i="3"/>
  <c r="N449" i="3" s="1"/>
  <c r="L449" i="3" l="1"/>
  <c r="V449" i="3"/>
  <c r="W449" i="3" s="1"/>
  <c r="A450" i="3"/>
  <c r="B450" i="3" s="1"/>
  <c r="P450" i="3" l="1"/>
  <c r="Q450" i="3" s="1"/>
  <c r="R450" i="3" s="1"/>
  <c r="S450" i="3" s="1"/>
  <c r="Z450" i="3"/>
  <c r="AC450" i="3"/>
  <c r="AA450" i="3"/>
  <c r="U449" i="3"/>
  <c r="Y448" i="3"/>
  <c r="T450" i="3" l="1"/>
  <c r="D450" i="3" s="1"/>
  <c r="AH450" i="3" l="1"/>
  <c r="G450" i="3"/>
  <c r="E450" i="3"/>
  <c r="H450" i="3" s="1"/>
  <c r="AG450" i="3"/>
  <c r="F450" i="3" l="1"/>
  <c r="I450" i="3"/>
  <c r="J450" i="3"/>
  <c r="AD450" i="3" s="1"/>
  <c r="M450" i="3"/>
  <c r="N450" i="3" s="1"/>
  <c r="K450" i="3"/>
  <c r="AE450" i="3" s="1"/>
  <c r="V450" i="3" l="1"/>
  <c r="W450" i="3" s="1"/>
  <c r="A451" i="3"/>
  <c r="B451" i="3" s="1"/>
  <c r="L450" i="3"/>
  <c r="U450" i="3" l="1"/>
  <c r="Y449" i="3"/>
  <c r="P451" i="3"/>
  <c r="Q451" i="3" s="1"/>
  <c r="R451" i="3" s="1"/>
  <c r="S451" i="3" s="1"/>
  <c r="Z451" i="3"/>
  <c r="AA451" i="3"/>
  <c r="AC451" i="3"/>
  <c r="T451" i="3" l="1"/>
  <c r="AG451" i="3" s="1"/>
  <c r="E451" i="3" l="1"/>
  <c r="H451" i="3" s="1"/>
  <c r="K451" i="3" s="1"/>
  <c r="AE451" i="3" s="1"/>
  <c r="AH451" i="3"/>
  <c r="D451" i="3"/>
  <c r="V451" i="3" l="1"/>
  <c r="A452" i="3"/>
  <c r="B452" i="3" s="1"/>
  <c r="F451" i="3"/>
  <c r="G451" i="3"/>
  <c r="I451" i="3" l="1"/>
  <c r="W451" i="3" s="1"/>
  <c r="J451" i="3"/>
  <c r="AD451" i="3" s="1"/>
  <c r="M451" i="3"/>
  <c r="N451" i="3" s="1"/>
  <c r="AA452" i="3"/>
  <c r="P452" i="3"/>
  <c r="Q452" i="3" s="1"/>
  <c r="R452" i="3" s="1"/>
  <c r="S452" i="3" s="1"/>
  <c r="AC452" i="3"/>
  <c r="Z452" i="3"/>
  <c r="AD452" i="3"/>
  <c r="T452" i="3" l="1"/>
  <c r="L451" i="3"/>
  <c r="U451" i="3" l="1"/>
  <c r="D452" i="3" s="1"/>
  <c r="AH452" i="3"/>
  <c r="AG452" i="3"/>
  <c r="Y450" i="3"/>
  <c r="E452" i="3" l="1"/>
  <c r="H452" i="3" s="1"/>
  <c r="K452" i="3" s="1"/>
  <c r="AE452" i="3" s="1"/>
  <c r="G452" i="3"/>
  <c r="F452" i="3" l="1"/>
  <c r="I452" i="3"/>
  <c r="J452" i="3"/>
  <c r="M452" i="3"/>
  <c r="N452" i="3" s="1"/>
  <c r="V452" i="3"/>
  <c r="A453" i="3"/>
  <c r="B453" i="3" s="1"/>
  <c r="W452" i="3" l="1"/>
  <c r="L452" i="3"/>
  <c r="AA453" i="3"/>
  <c r="P453" i="3"/>
  <c r="Q453" i="3" s="1"/>
  <c r="R453" i="3" s="1"/>
  <c r="S453" i="3" s="1"/>
  <c r="AC453" i="3"/>
  <c r="AD453" i="3"/>
  <c r="Z453" i="3"/>
  <c r="U452" i="3" l="1"/>
  <c r="Y451" i="3"/>
  <c r="T453" i="3"/>
  <c r="AH453" i="3" s="1"/>
  <c r="AG453" i="3" l="1"/>
  <c r="E453" i="3"/>
  <c r="H453" i="3" s="1"/>
  <c r="D453" i="3"/>
  <c r="K453" i="3" l="1"/>
  <c r="AE453" i="3" s="1"/>
  <c r="F453" i="3"/>
  <c r="G453" i="3"/>
  <c r="I453" i="3" l="1"/>
  <c r="J453" i="3"/>
  <c r="M453" i="3"/>
  <c r="N453" i="3" s="1"/>
  <c r="V453" i="3"/>
  <c r="A454" i="3"/>
  <c r="B454" i="3" s="1"/>
  <c r="W453" i="3" l="1"/>
  <c r="AA454" i="3"/>
  <c r="AC454" i="3"/>
  <c r="Z454" i="3"/>
  <c r="P454" i="3"/>
  <c r="Q454" i="3" s="1"/>
  <c r="R454" i="3" s="1"/>
  <c r="S454" i="3" s="1"/>
  <c r="L453" i="3"/>
  <c r="U453" i="3" l="1"/>
  <c r="Y452" i="3"/>
  <c r="T454" i="3"/>
  <c r="E454" i="3" l="1"/>
  <c r="H454" i="3" s="1"/>
  <c r="K454" i="3" s="1"/>
  <c r="AE454" i="3" s="1"/>
  <c r="AH454" i="3"/>
  <c r="AG454" i="3"/>
  <c r="D454" i="3"/>
  <c r="F454" i="3" l="1"/>
  <c r="G454" i="3"/>
  <c r="V454" i="3"/>
  <c r="A455" i="3"/>
  <c r="B455" i="3" s="1"/>
  <c r="AC455" i="3" l="1"/>
  <c r="AD455" i="3"/>
  <c r="AA455" i="3"/>
  <c r="Z455" i="3"/>
  <c r="P455" i="3"/>
  <c r="Q455" i="3" s="1"/>
  <c r="R455" i="3" s="1"/>
  <c r="S455" i="3" s="1"/>
  <c r="I454" i="3"/>
  <c r="W454" i="3" s="1"/>
  <c r="J454" i="3"/>
  <c r="AD454" i="3" s="1"/>
  <c r="M454" i="3"/>
  <c r="N454" i="3" s="1"/>
  <c r="L454" i="3" l="1"/>
  <c r="T455" i="3"/>
  <c r="AH455" i="3" l="1"/>
  <c r="U454" i="3"/>
  <c r="D455" i="3" s="1"/>
  <c r="AG455" i="3"/>
  <c r="Y453" i="3"/>
  <c r="E455" i="3" l="1"/>
  <c r="H455" i="3" s="1"/>
  <c r="K455" i="3" s="1"/>
  <c r="AE455" i="3" s="1"/>
  <c r="G455" i="3"/>
  <c r="F455" i="3" l="1"/>
  <c r="I455" i="3"/>
  <c r="J455" i="3"/>
  <c r="M455" i="3"/>
  <c r="N455" i="3" s="1"/>
  <c r="V455" i="3"/>
  <c r="A456" i="3"/>
  <c r="B456" i="3" s="1"/>
  <c r="W455" i="3" l="1"/>
  <c r="L455" i="3"/>
  <c r="AC456" i="3"/>
  <c r="P456" i="3"/>
  <c r="Q456" i="3" s="1"/>
  <c r="R456" i="3" s="1"/>
  <c r="S456" i="3" s="1"/>
  <c r="AD456" i="3"/>
  <c r="Z456" i="3"/>
  <c r="AA456" i="3"/>
  <c r="U455" i="3" l="1"/>
  <c r="Y454" i="3"/>
  <c r="T456" i="3"/>
  <c r="AG456" i="3" s="1"/>
  <c r="D456" i="3" l="1"/>
  <c r="G456" i="3" s="1"/>
  <c r="AH456" i="3"/>
  <c r="E456" i="3"/>
  <c r="H456" i="3" s="1"/>
  <c r="I456" i="3" l="1"/>
  <c r="J456" i="3"/>
  <c r="M456" i="3"/>
  <c r="N456" i="3" s="1"/>
  <c r="K456" i="3"/>
  <c r="AE456" i="3" s="1"/>
  <c r="F456" i="3"/>
  <c r="V456" i="3" l="1"/>
  <c r="W456" i="3" s="1"/>
  <c r="A457" i="3"/>
  <c r="B457" i="3" s="1"/>
  <c r="L456" i="3"/>
  <c r="Z457" i="3" l="1"/>
  <c r="AC457" i="3"/>
  <c r="P457" i="3"/>
  <c r="Q457" i="3" s="1"/>
  <c r="R457" i="3" s="1"/>
  <c r="S457" i="3" s="1"/>
  <c r="AA457" i="3"/>
  <c r="U456" i="3"/>
  <c r="Y455" i="3"/>
  <c r="T457" i="3" l="1"/>
  <c r="D457" i="3" l="1"/>
  <c r="AH457" i="3"/>
  <c r="E457" i="3"/>
  <c r="H457" i="3" s="1"/>
  <c r="AG457" i="3"/>
  <c r="F457" i="3" l="1"/>
  <c r="G457" i="3"/>
  <c r="K457" i="3"/>
  <c r="AE457" i="3" s="1"/>
  <c r="I457" i="3" l="1"/>
  <c r="J457" i="3"/>
  <c r="AD457" i="3" s="1"/>
  <c r="M457" i="3"/>
  <c r="N457" i="3" s="1"/>
  <c r="V457" i="3"/>
  <c r="A458" i="3"/>
  <c r="B458" i="3" s="1"/>
  <c r="L457" i="3" l="1"/>
  <c r="W457" i="3"/>
  <c r="P458" i="3"/>
  <c r="Q458" i="3" s="1"/>
  <c r="R458" i="3" s="1"/>
  <c r="S458" i="3" s="1"/>
  <c r="AC458" i="3"/>
  <c r="Z458" i="3"/>
  <c r="AA458" i="3"/>
  <c r="U457" i="3" l="1"/>
  <c r="Y456" i="3"/>
  <c r="T458" i="3"/>
  <c r="AH458" i="3" s="1"/>
  <c r="AG458" i="3" l="1"/>
  <c r="E458" i="3"/>
  <c r="H458" i="3" s="1"/>
  <c r="D458" i="3"/>
  <c r="K458" i="3" l="1"/>
  <c r="AE458" i="3" s="1"/>
  <c r="F458" i="3"/>
  <c r="G458" i="3"/>
  <c r="V458" i="3" l="1"/>
  <c r="A459" i="3"/>
  <c r="B459" i="3" s="1"/>
  <c r="I458" i="3"/>
  <c r="J458" i="3"/>
  <c r="AD458" i="3" s="1"/>
  <c r="M458" i="3"/>
  <c r="N458" i="3" s="1"/>
  <c r="W458" i="3" l="1"/>
  <c r="L458" i="3"/>
  <c r="Z459" i="3"/>
  <c r="P459" i="3"/>
  <c r="Q459" i="3" s="1"/>
  <c r="R459" i="3" s="1"/>
  <c r="S459" i="3" s="1"/>
  <c r="AA459" i="3"/>
  <c r="AD459" i="3"/>
  <c r="AC459" i="3"/>
  <c r="T459" i="3" l="1"/>
  <c r="AH459" i="3" s="1"/>
  <c r="U458" i="3"/>
  <c r="Y457" i="3"/>
  <c r="AG459" i="3" l="1"/>
  <c r="D459" i="3"/>
  <c r="E459" i="3"/>
  <c r="H459" i="3" s="1"/>
  <c r="K459" i="3" l="1"/>
  <c r="AE459" i="3" s="1"/>
  <c r="F459" i="3"/>
  <c r="G459" i="3"/>
  <c r="I459" i="3" l="1"/>
  <c r="J459" i="3"/>
  <c r="M459" i="3"/>
  <c r="N459" i="3" s="1"/>
  <c r="V459" i="3"/>
  <c r="A460" i="3"/>
  <c r="B460" i="3" s="1"/>
  <c r="W459" i="3" l="1"/>
  <c r="L459" i="3"/>
  <c r="P460" i="3"/>
  <c r="Q460" i="3" s="1"/>
  <c r="R460" i="3" s="1"/>
  <c r="S460" i="3" s="1"/>
  <c r="AD460" i="3"/>
  <c r="Z460" i="3"/>
  <c r="AA460" i="3"/>
  <c r="AC460" i="3"/>
  <c r="U459" i="3" l="1"/>
  <c r="Y458" i="3"/>
  <c r="T460" i="3"/>
  <c r="D460" i="3" l="1"/>
  <c r="G460" i="3" s="1"/>
  <c r="AH460" i="3"/>
  <c r="E460" i="3"/>
  <c r="H460" i="3" s="1"/>
  <c r="AG460" i="3"/>
  <c r="F460" i="3" l="1"/>
  <c r="I460" i="3"/>
  <c r="J460" i="3"/>
  <c r="M460" i="3"/>
  <c r="N460" i="3" s="1"/>
  <c r="K460" i="3"/>
  <c r="AE460" i="3" s="1"/>
  <c r="V460" i="3" l="1"/>
  <c r="W460" i="3" s="1"/>
  <c r="A461" i="3"/>
  <c r="B461" i="3" s="1"/>
  <c r="L460" i="3"/>
  <c r="U460" i="3" l="1"/>
  <c r="Y459" i="3"/>
  <c r="AC461" i="3"/>
  <c r="Z461" i="3"/>
  <c r="P461" i="3"/>
  <c r="Q461" i="3" s="1"/>
  <c r="R461" i="3" s="1"/>
  <c r="S461" i="3" s="1"/>
  <c r="AA461" i="3"/>
  <c r="T461" i="3" l="1"/>
  <c r="D461" i="3" s="1"/>
  <c r="AG461" i="3" l="1"/>
  <c r="G461" i="3"/>
  <c r="AH461" i="3"/>
  <c r="E461" i="3"/>
  <c r="H461" i="3" s="1"/>
  <c r="F461" i="3" l="1"/>
  <c r="I461" i="3"/>
  <c r="J461" i="3"/>
  <c r="AD461" i="3" s="1"/>
  <c r="M461" i="3"/>
  <c r="N461" i="3" s="1"/>
  <c r="K461" i="3"/>
  <c r="AE461" i="3" s="1"/>
  <c r="V461" i="3" l="1"/>
  <c r="W461" i="3" s="1"/>
  <c r="A462" i="3"/>
  <c r="B462" i="3" s="1"/>
  <c r="L461" i="3"/>
  <c r="U461" i="3" l="1"/>
  <c r="Y460" i="3"/>
  <c r="Z462" i="3"/>
  <c r="P462" i="3"/>
  <c r="Q462" i="3" s="1"/>
  <c r="R462" i="3" s="1"/>
  <c r="S462" i="3" s="1"/>
  <c r="AD462" i="3"/>
  <c r="AA462" i="3"/>
  <c r="AC462" i="3"/>
  <c r="T462" i="3" l="1"/>
  <c r="E462" i="3" s="1"/>
  <c r="H462" i="3" s="1"/>
  <c r="AG462" i="3" l="1"/>
  <c r="AH462" i="3"/>
  <c r="D462" i="3"/>
  <c r="G462" i="3" s="1"/>
  <c r="K462" i="3"/>
  <c r="AE462" i="3" s="1"/>
  <c r="F462" i="3" l="1"/>
  <c r="V462" i="3"/>
  <c r="A463" i="3"/>
  <c r="B463" i="3" s="1"/>
  <c r="I462" i="3"/>
  <c r="J462" i="3"/>
  <c r="M462" i="3"/>
  <c r="N462" i="3" s="1"/>
  <c r="W462" i="3" l="1"/>
  <c r="L462" i="3"/>
  <c r="P463" i="3"/>
  <c r="Q463" i="3" s="1"/>
  <c r="R463" i="3" s="1"/>
  <c r="S463" i="3" s="1"/>
  <c r="AC463" i="3"/>
  <c r="Z463" i="3"/>
  <c r="AA463" i="3"/>
  <c r="AD463" i="3"/>
  <c r="U462" i="3" l="1"/>
  <c r="Y461" i="3"/>
  <c r="T463" i="3"/>
  <c r="AH463" i="3" s="1"/>
  <c r="AG463" i="3" l="1"/>
  <c r="D463" i="3"/>
  <c r="E463" i="3"/>
  <c r="H463" i="3" s="1"/>
  <c r="F463" i="3" l="1"/>
  <c r="G463" i="3"/>
  <c r="K463" i="3"/>
  <c r="AE463" i="3" s="1"/>
  <c r="V463" i="3" l="1"/>
  <c r="A464" i="3"/>
  <c r="B464" i="3" s="1"/>
  <c r="I463" i="3"/>
  <c r="J463" i="3"/>
  <c r="M463" i="3"/>
  <c r="N463" i="3" s="1"/>
  <c r="W463" i="3" l="1"/>
  <c r="L463" i="3"/>
  <c r="Z464" i="3"/>
  <c r="AC464" i="3"/>
  <c r="P464" i="3"/>
  <c r="Q464" i="3" s="1"/>
  <c r="R464" i="3" s="1"/>
  <c r="S464" i="3" s="1"/>
  <c r="AA464" i="3"/>
  <c r="T464" i="3" l="1"/>
  <c r="AG464" i="3" s="1"/>
  <c r="U463" i="3"/>
  <c r="Y462" i="3"/>
  <c r="AH464" i="3" l="1"/>
  <c r="D464" i="3"/>
  <c r="E464" i="3"/>
  <c r="H464" i="3" s="1"/>
  <c r="K464" i="3" l="1"/>
  <c r="AE464" i="3" s="1"/>
  <c r="F464" i="3"/>
  <c r="G464" i="3"/>
  <c r="I464" i="3" l="1"/>
  <c r="J464" i="3"/>
  <c r="AD464" i="3" s="1"/>
  <c r="M464" i="3"/>
  <c r="N464" i="3" s="1"/>
  <c r="V464" i="3"/>
  <c r="A465" i="3"/>
  <c r="B465" i="3" s="1"/>
  <c r="W464" i="3" l="1"/>
  <c r="L464" i="3"/>
  <c r="Z465" i="3"/>
  <c r="P465" i="3"/>
  <c r="Q465" i="3" s="1"/>
  <c r="R465" i="3" s="1"/>
  <c r="S465" i="3" s="1"/>
  <c r="AC465" i="3"/>
  <c r="AA465" i="3"/>
  <c r="AD465" i="3"/>
  <c r="T465" i="3" l="1"/>
  <c r="AH465" i="3" s="1"/>
  <c r="U464" i="3"/>
  <c r="Y463" i="3"/>
  <c r="D465" i="3" l="1"/>
  <c r="G465" i="3" s="1"/>
  <c r="E465" i="3"/>
  <c r="H465" i="3" s="1"/>
  <c r="AG465" i="3"/>
  <c r="F465" i="3" l="1"/>
  <c r="I465" i="3"/>
  <c r="J465" i="3"/>
  <c r="M465" i="3"/>
  <c r="N465" i="3" s="1"/>
  <c r="K465" i="3"/>
  <c r="AE465" i="3" s="1"/>
  <c r="V465" i="3" l="1"/>
  <c r="W465" i="3" s="1"/>
  <c r="A466" i="3"/>
  <c r="B466" i="3" s="1"/>
  <c r="L465" i="3"/>
  <c r="U465" i="3" l="1"/>
  <c r="Y464" i="3"/>
  <c r="AA466" i="3"/>
  <c r="AD466" i="3"/>
  <c r="AC466" i="3"/>
  <c r="Z466" i="3"/>
  <c r="P466" i="3"/>
  <c r="Q466" i="3" s="1"/>
  <c r="R466" i="3" s="1"/>
  <c r="S466" i="3" s="1"/>
  <c r="T466" i="3" l="1"/>
  <c r="AH466" i="3" s="1"/>
  <c r="AG466" i="3" l="1"/>
  <c r="E466" i="3"/>
  <c r="H466" i="3" s="1"/>
  <c r="K466" i="3" s="1"/>
  <c r="AE466" i="3" s="1"/>
  <c r="D466" i="3"/>
  <c r="G466" i="3" s="1"/>
  <c r="F466" i="3" l="1"/>
  <c r="I466" i="3"/>
  <c r="J466" i="3"/>
  <c r="M466" i="3"/>
  <c r="N466" i="3" s="1"/>
  <c r="V466" i="3"/>
  <c r="A467" i="3"/>
  <c r="B467" i="3" s="1"/>
  <c r="W466" i="3" l="1"/>
  <c r="L466" i="3"/>
  <c r="P467" i="3"/>
  <c r="Q467" i="3" s="1"/>
  <c r="R467" i="3" s="1"/>
  <c r="S467" i="3" s="1"/>
  <c r="AA467" i="3"/>
  <c r="Z467" i="3"/>
  <c r="AC467" i="3"/>
  <c r="U466" i="3" l="1"/>
  <c r="Y465" i="3"/>
  <c r="T467" i="3"/>
  <c r="E467" i="3" l="1"/>
  <c r="H467" i="3" s="1"/>
  <c r="K467" i="3" s="1"/>
  <c r="AE467" i="3" s="1"/>
  <c r="AG467" i="3"/>
  <c r="D467" i="3"/>
  <c r="AH467" i="3"/>
  <c r="F467" i="3" l="1"/>
  <c r="G467" i="3"/>
  <c r="V467" i="3"/>
  <c r="A468" i="3"/>
  <c r="B468" i="3" s="1"/>
  <c r="AC468" i="3" l="1"/>
  <c r="Z468" i="3"/>
  <c r="P468" i="3"/>
  <c r="Q468" i="3" s="1"/>
  <c r="R468" i="3" s="1"/>
  <c r="S468" i="3" s="1"/>
  <c r="AA468" i="3"/>
  <c r="I467" i="3"/>
  <c r="W467" i="3" s="1"/>
  <c r="J467" i="3"/>
  <c r="AD467" i="3" s="1"/>
  <c r="M467" i="3"/>
  <c r="N467" i="3" s="1"/>
  <c r="L467" i="3" l="1"/>
  <c r="T468" i="3"/>
  <c r="U467" i="3" l="1"/>
  <c r="D468" i="3" s="1"/>
  <c r="AH468" i="3"/>
  <c r="AG468" i="3"/>
  <c r="Y466" i="3"/>
  <c r="E468" i="3" l="1"/>
  <c r="H468" i="3" s="1"/>
  <c r="K468" i="3" s="1"/>
  <c r="AE468" i="3" s="1"/>
  <c r="G468" i="3"/>
  <c r="F468" i="3" l="1"/>
  <c r="I468" i="3"/>
  <c r="J468" i="3"/>
  <c r="AD468" i="3" s="1"/>
  <c r="M468" i="3"/>
  <c r="N468" i="3" s="1"/>
  <c r="V468" i="3"/>
  <c r="A469" i="3"/>
  <c r="B469" i="3" s="1"/>
  <c r="W468" i="3" l="1"/>
  <c r="L468" i="3"/>
  <c r="AD469" i="3"/>
  <c r="AA469" i="3"/>
  <c r="P469" i="3"/>
  <c r="Q469" i="3" s="1"/>
  <c r="R469" i="3" s="1"/>
  <c r="S469" i="3" s="1"/>
  <c r="Z469" i="3"/>
  <c r="AC469" i="3"/>
  <c r="U468" i="3" l="1"/>
  <c r="Y467" i="3"/>
  <c r="T469" i="3"/>
  <c r="AG469" i="3" s="1"/>
  <c r="D469" i="3" l="1"/>
  <c r="G469" i="3" s="1"/>
  <c r="AH469" i="3"/>
  <c r="E469" i="3"/>
  <c r="H469" i="3" s="1"/>
  <c r="K469" i="3" s="1"/>
  <c r="AE469" i="3" s="1"/>
  <c r="F469" i="3" l="1"/>
  <c r="I469" i="3"/>
  <c r="J469" i="3"/>
  <c r="M469" i="3"/>
  <c r="N469" i="3" s="1"/>
  <c r="V469" i="3"/>
  <c r="A470" i="3"/>
  <c r="B470" i="3" s="1"/>
  <c r="W469" i="3" l="1"/>
  <c r="L469" i="3"/>
  <c r="AC470" i="3"/>
  <c r="P470" i="3"/>
  <c r="Q470" i="3" s="1"/>
  <c r="R470" i="3" s="1"/>
  <c r="S470" i="3" s="1"/>
  <c r="AA470" i="3"/>
  <c r="Z470" i="3"/>
  <c r="AD470" i="3"/>
  <c r="U469" i="3" l="1"/>
  <c r="Y468" i="3"/>
  <c r="T470" i="3"/>
  <c r="D470" i="3" l="1"/>
  <c r="G470" i="3" s="1"/>
  <c r="AH470" i="3"/>
  <c r="AG470" i="3"/>
  <c r="E470" i="3"/>
  <c r="H470" i="3" s="1"/>
  <c r="K470" i="3" l="1"/>
  <c r="AE470" i="3" s="1"/>
  <c r="F470" i="3"/>
  <c r="I470" i="3"/>
  <c r="J470" i="3"/>
  <c r="M470" i="3"/>
  <c r="N470" i="3" s="1"/>
  <c r="V470" i="3" l="1"/>
  <c r="W470" i="3" s="1"/>
  <c r="A471" i="3"/>
  <c r="B471" i="3" s="1"/>
  <c r="L470" i="3"/>
  <c r="U470" i="3" l="1"/>
  <c r="Y469" i="3"/>
  <c r="Z471" i="3"/>
  <c r="AA471" i="3"/>
  <c r="AC471" i="3"/>
  <c r="P471" i="3"/>
  <c r="Q471" i="3" s="1"/>
  <c r="R471" i="3" s="1"/>
  <c r="S471" i="3" s="1"/>
  <c r="T471" i="3" l="1"/>
  <c r="AH471" i="3" s="1"/>
  <c r="AG471" i="3" l="1"/>
  <c r="E471" i="3"/>
  <c r="H471" i="3" s="1"/>
  <c r="D471" i="3"/>
  <c r="F471" i="3" l="1"/>
  <c r="G471" i="3"/>
  <c r="K471" i="3"/>
  <c r="AE471" i="3" s="1"/>
  <c r="V471" i="3" l="1"/>
  <c r="A472" i="3"/>
  <c r="B472" i="3" s="1"/>
  <c r="I471" i="3"/>
  <c r="J471" i="3"/>
  <c r="AD471" i="3" s="1"/>
  <c r="M471" i="3"/>
  <c r="N471" i="3" s="1"/>
  <c r="W471" i="3" l="1"/>
  <c r="L471" i="3"/>
  <c r="Z472" i="3"/>
  <c r="AA472" i="3"/>
  <c r="P472" i="3"/>
  <c r="Q472" i="3" s="1"/>
  <c r="R472" i="3" s="1"/>
  <c r="S472" i="3" s="1"/>
  <c r="AD472" i="3"/>
  <c r="AC472" i="3"/>
  <c r="U471" i="3" l="1"/>
  <c r="Y470" i="3"/>
  <c r="T472" i="3"/>
  <c r="E472" i="3" l="1"/>
  <c r="H472" i="3" s="1"/>
  <c r="K472" i="3" s="1"/>
  <c r="AE472" i="3" s="1"/>
  <c r="AG472" i="3"/>
  <c r="AH472" i="3"/>
  <c r="D472" i="3"/>
  <c r="V472" i="3" l="1"/>
  <c r="A473" i="3"/>
  <c r="B473" i="3" s="1"/>
  <c r="F472" i="3"/>
  <c r="G472" i="3"/>
  <c r="I472" i="3" l="1"/>
  <c r="W472" i="3" s="1"/>
  <c r="J472" i="3"/>
  <c r="M472" i="3"/>
  <c r="N472" i="3" s="1"/>
  <c r="AC473" i="3"/>
  <c r="P473" i="3"/>
  <c r="Q473" i="3" s="1"/>
  <c r="R473" i="3" s="1"/>
  <c r="S473" i="3" s="1"/>
  <c r="AD473" i="3"/>
  <c r="Z473" i="3"/>
  <c r="AA473" i="3"/>
  <c r="L472" i="3" l="1"/>
  <c r="T473" i="3"/>
  <c r="U472" i="3" l="1"/>
  <c r="D473" i="3" s="1"/>
  <c r="AH473" i="3"/>
  <c r="AG473" i="3"/>
  <c r="Y471" i="3"/>
  <c r="G473" i="3" l="1"/>
  <c r="E473" i="3"/>
  <c r="H473" i="3" s="1"/>
  <c r="F473" i="3" l="1"/>
  <c r="I473" i="3"/>
  <c r="J473" i="3"/>
  <c r="M473" i="3"/>
  <c r="N473" i="3" s="1"/>
  <c r="K473" i="3"/>
  <c r="AE473" i="3" s="1"/>
  <c r="V473" i="3" l="1"/>
  <c r="W473" i="3" s="1"/>
  <c r="A474" i="3"/>
  <c r="B474" i="3" s="1"/>
  <c r="L473" i="3"/>
  <c r="U473" i="3" l="1"/>
  <c r="Y472" i="3"/>
  <c r="P474" i="3"/>
  <c r="Q474" i="3" s="1"/>
  <c r="R474" i="3" s="1"/>
  <c r="S474" i="3" s="1"/>
  <c r="Z474" i="3"/>
  <c r="AA474" i="3"/>
  <c r="AC474" i="3"/>
  <c r="T474" i="3" l="1"/>
  <c r="D474" i="3" s="1"/>
  <c r="AG474" i="3" l="1"/>
  <c r="AH474" i="3"/>
  <c r="G474" i="3"/>
  <c r="E474" i="3"/>
  <c r="H474" i="3" s="1"/>
  <c r="I474" i="3" l="1"/>
  <c r="J474" i="3"/>
  <c r="AD474" i="3" s="1"/>
  <c r="M474" i="3"/>
  <c r="N474" i="3" s="1"/>
  <c r="F474" i="3"/>
  <c r="K474" i="3"/>
  <c r="AE474" i="3" s="1"/>
  <c r="V474" i="3" l="1"/>
  <c r="W474" i="3" s="1"/>
  <c r="A475" i="3"/>
  <c r="B475" i="3" s="1"/>
  <c r="L474" i="3"/>
  <c r="U474" i="3" l="1"/>
  <c r="Y473" i="3"/>
  <c r="AC475" i="3"/>
  <c r="Z475" i="3"/>
  <c r="P475" i="3"/>
  <c r="Q475" i="3" s="1"/>
  <c r="R475" i="3" s="1"/>
  <c r="S475" i="3" s="1"/>
  <c r="AD475" i="3"/>
  <c r="AA475" i="3"/>
  <c r="T475" i="3" l="1"/>
  <c r="AG475" i="3" s="1"/>
  <c r="AH475" i="3" l="1"/>
  <c r="E475" i="3"/>
  <c r="H475" i="3" s="1"/>
  <c r="K475" i="3" s="1"/>
  <c r="AE475" i="3" s="1"/>
  <c r="D475" i="3"/>
  <c r="F475" i="3" l="1"/>
  <c r="G475" i="3"/>
  <c r="M475" i="3" s="1"/>
  <c r="N475" i="3" s="1"/>
  <c r="V475" i="3"/>
  <c r="A476" i="3"/>
  <c r="B476" i="3" s="1"/>
  <c r="I475" i="3" l="1"/>
  <c r="W475" i="3" s="1"/>
  <c r="J475" i="3"/>
  <c r="L475" i="3" s="1"/>
  <c r="P476" i="3"/>
  <c r="Q476" i="3" s="1"/>
  <c r="R476" i="3" s="1"/>
  <c r="S476" i="3" s="1"/>
  <c r="AA476" i="3"/>
  <c r="AD476" i="3"/>
  <c r="Z476" i="3"/>
  <c r="AC476" i="3"/>
  <c r="U475" i="3" l="1"/>
  <c r="Y474" i="3"/>
  <c r="T476" i="3"/>
  <c r="AG476" i="3" s="1"/>
  <c r="D476" i="3" l="1"/>
  <c r="G476" i="3" s="1"/>
  <c r="E476" i="3"/>
  <c r="H476" i="3" s="1"/>
  <c r="K476" i="3" s="1"/>
  <c r="AE476" i="3" s="1"/>
  <c r="AH476" i="3"/>
  <c r="F476" i="3" l="1"/>
  <c r="V476" i="3"/>
  <c r="A477" i="3"/>
  <c r="B477" i="3" s="1"/>
  <c r="I476" i="3"/>
  <c r="J476" i="3"/>
  <c r="M476" i="3"/>
  <c r="N476" i="3" s="1"/>
  <c r="W476" i="3" l="1"/>
  <c r="L476" i="3"/>
  <c r="AA477" i="3"/>
  <c r="P477" i="3"/>
  <c r="Q477" i="3" s="1"/>
  <c r="R477" i="3" s="1"/>
  <c r="S477" i="3" s="1"/>
  <c r="AC477" i="3"/>
  <c r="Z477" i="3"/>
  <c r="U476" i="3" l="1"/>
  <c r="Y475" i="3"/>
  <c r="T477" i="3"/>
  <c r="D477" i="3" l="1"/>
  <c r="G477" i="3" s="1"/>
  <c r="AG477" i="3"/>
  <c r="E477" i="3"/>
  <c r="H477" i="3" s="1"/>
  <c r="K477" i="3" s="1"/>
  <c r="AE477" i="3" s="1"/>
  <c r="AH477" i="3"/>
  <c r="F477" i="3" l="1"/>
  <c r="V477" i="3"/>
  <c r="A478" i="3"/>
  <c r="B478" i="3" s="1"/>
  <c r="I477" i="3"/>
  <c r="J477" i="3"/>
  <c r="AD477" i="3" s="1"/>
  <c r="M477" i="3"/>
  <c r="N477" i="3" s="1"/>
  <c r="W477" i="3" l="1"/>
  <c r="L477" i="3"/>
  <c r="AA478" i="3"/>
  <c r="P478" i="3"/>
  <c r="Q478" i="3" s="1"/>
  <c r="R478" i="3" s="1"/>
  <c r="S478" i="3" s="1"/>
  <c r="AC478" i="3"/>
  <c r="Z478" i="3"/>
  <c r="T478" i="3" l="1"/>
  <c r="U477" i="3"/>
  <c r="Y476" i="3"/>
  <c r="E478" i="3" l="1"/>
  <c r="H478" i="3" s="1"/>
  <c r="K478" i="3" s="1"/>
  <c r="AE478" i="3" s="1"/>
  <c r="AG478" i="3"/>
  <c r="AH478" i="3"/>
  <c r="D478" i="3"/>
  <c r="F478" i="3" l="1"/>
  <c r="G478" i="3"/>
  <c r="V478" i="3"/>
  <c r="A479" i="3"/>
  <c r="B479" i="3" s="1"/>
  <c r="I478" i="3" l="1"/>
  <c r="W478" i="3" s="1"/>
  <c r="J478" i="3"/>
  <c r="AD478" i="3" s="1"/>
  <c r="M478" i="3"/>
  <c r="N478" i="3" s="1"/>
  <c r="P479" i="3"/>
  <c r="Q479" i="3" s="1"/>
  <c r="R479" i="3" s="1"/>
  <c r="S479" i="3" s="1"/>
  <c r="AD479" i="3"/>
  <c r="AC479" i="3"/>
  <c r="AA479" i="3"/>
  <c r="Z479" i="3"/>
  <c r="T479" i="3" l="1"/>
  <c r="L478" i="3"/>
  <c r="U478" i="3" l="1"/>
  <c r="E479" i="3" s="1"/>
  <c r="H479" i="3" s="1"/>
  <c r="AH479" i="3"/>
  <c r="AG479" i="3"/>
  <c r="Y477" i="3"/>
  <c r="D479" i="3" l="1"/>
  <c r="G479" i="3" s="1"/>
  <c r="K479" i="3"/>
  <c r="AE479" i="3" s="1"/>
  <c r="F479" i="3" l="1"/>
  <c r="I479" i="3"/>
  <c r="J479" i="3"/>
  <c r="M479" i="3"/>
  <c r="N479" i="3" s="1"/>
  <c r="V479" i="3"/>
  <c r="A480" i="3"/>
  <c r="B480" i="3" s="1"/>
  <c r="W479" i="3" l="1"/>
  <c r="AA480" i="3"/>
  <c r="P480" i="3"/>
  <c r="Q480" i="3" s="1"/>
  <c r="R480" i="3" s="1"/>
  <c r="S480" i="3" s="1"/>
  <c r="AD480" i="3"/>
  <c r="AC480" i="3"/>
  <c r="Z480" i="3"/>
  <c r="L479" i="3"/>
  <c r="U479" i="3" l="1"/>
  <c r="Y478" i="3"/>
  <c r="T480" i="3"/>
  <c r="E480" i="3" l="1"/>
  <c r="H480" i="3" s="1"/>
  <c r="K480" i="3" s="1"/>
  <c r="AE480" i="3" s="1"/>
  <c r="AH480" i="3"/>
  <c r="AG480" i="3"/>
  <c r="D480" i="3"/>
  <c r="V480" i="3" l="1"/>
  <c r="A481" i="3"/>
  <c r="B481" i="3" s="1"/>
  <c r="F480" i="3"/>
  <c r="G480" i="3"/>
  <c r="I480" i="3" l="1"/>
  <c r="W480" i="3" s="1"/>
  <c r="J480" i="3"/>
  <c r="M480" i="3"/>
  <c r="N480" i="3" s="1"/>
  <c r="P481" i="3"/>
  <c r="Q481" i="3" s="1"/>
  <c r="R481" i="3" s="1"/>
  <c r="S481" i="3" s="1"/>
  <c r="AC481" i="3"/>
  <c r="AA481" i="3"/>
  <c r="Z481" i="3"/>
  <c r="T481" i="3" l="1"/>
  <c r="L480" i="3"/>
  <c r="U480" i="3" l="1"/>
  <c r="D481" i="3" s="1"/>
  <c r="AG481" i="3"/>
  <c r="AH481" i="3"/>
  <c r="Y479" i="3"/>
  <c r="G481" i="3" l="1"/>
  <c r="E481" i="3"/>
  <c r="H481" i="3" s="1"/>
  <c r="K481" i="3" l="1"/>
  <c r="AE481" i="3" s="1"/>
  <c r="I481" i="3"/>
  <c r="J481" i="3"/>
  <c r="AD481" i="3" s="1"/>
  <c r="M481" i="3"/>
  <c r="N481" i="3" s="1"/>
  <c r="F481" i="3"/>
  <c r="V481" i="3" l="1"/>
  <c r="W481" i="3" s="1"/>
  <c r="A482" i="3"/>
  <c r="B482" i="3" s="1"/>
  <c r="L481" i="3"/>
  <c r="U481" i="3" l="1"/>
  <c r="Y480" i="3"/>
  <c r="AC482" i="3"/>
  <c r="AA482" i="3"/>
  <c r="P482" i="3"/>
  <c r="Q482" i="3" s="1"/>
  <c r="R482" i="3" s="1"/>
  <c r="S482" i="3" s="1"/>
  <c r="AD482" i="3"/>
  <c r="Z482" i="3"/>
  <c r="T482" i="3" l="1"/>
  <c r="D482" i="3" s="1"/>
  <c r="AG482" i="3" l="1"/>
  <c r="G482" i="3"/>
  <c r="AH482" i="3"/>
  <c r="E482" i="3"/>
  <c r="H482" i="3" s="1"/>
  <c r="F482" i="3" l="1"/>
  <c r="I482" i="3"/>
  <c r="J482" i="3"/>
  <c r="M482" i="3"/>
  <c r="N482" i="3" s="1"/>
  <c r="K482" i="3"/>
  <c r="AE482" i="3" s="1"/>
  <c r="V482" i="3" l="1"/>
  <c r="W482" i="3" s="1"/>
  <c r="A483" i="3"/>
  <c r="B483" i="3" s="1"/>
  <c r="L482" i="3"/>
  <c r="U482" i="3" l="1"/>
  <c r="Y481" i="3"/>
  <c r="P483" i="3"/>
  <c r="Q483" i="3" s="1"/>
  <c r="R483" i="3" s="1"/>
  <c r="S483" i="3" s="1"/>
  <c r="Z483" i="3"/>
  <c r="AC483" i="3"/>
  <c r="AD483" i="3"/>
  <c r="AA483" i="3"/>
  <c r="T483" i="3" l="1"/>
  <c r="E483" i="3" s="1"/>
  <c r="H483" i="3" s="1"/>
  <c r="AG483" i="3" l="1"/>
  <c r="AH483" i="3"/>
  <c r="D483" i="3"/>
  <c r="G483" i="3" s="1"/>
  <c r="K483" i="3"/>
  <c r="AE483" i="3" s="1"/>
  <c r="F483" i="3" l="1"/>
  <c r="I483" i="3"/>
  <c r="J483" i="3"/>
  <c r="M483" i="3"/>
  <c r="N483" i="3" s="1"/>
  <c r="V483" i="3"/>
  <c r="A484" i="3"/>
  <c r="B484" i="3" s="1"/>
  <c r="W483" i="3" l="1"/>
  <c r="L483" i="3"/>
  <c r="AC484" i="3"/>
  <c r="Z484" i="3"/>
  <c r="AA484" i="3"/>
  <c r="P484" i="3"/>
  <c r="Q484" i="3" s="1"/>
  <c r="R484" i="3" s="1"/>
  <c r="S484" i="3" s="1"/>
  <c r="T484" i="3" l="1"/>
  <c r="U483" i="3"/>
  <c r="Y482" i="3"/>
  <c r="E484" i="3" l="1"/>
  <c r="H484" i="3" s="1"/>
  <c r="K484" i="3" s="1"/>
  <c r="AE484" i="3" s="1"/>
  <c r="D484" i="3"/>
  <c r="G484" i="3" s="1"/>
  <c r="AG484" i="3"/>
  <c r="AH484" i="3"/>
  <c r="F484" i="3" l="1"/>
  <c r="V484" i="3"/>
  <c r="A485" i="3"/>
  <c r="B485" i="3" s="1"/>
  <c r="I484" i="3"/>
  <c r="J484" i="3"/>
  <c r="AD484" i="3" s="1"/>
  <c r="M484" i="3"/>
  <c r="N484" i="3" s="1"/>
  <c r="W484" i="3" l="1"/>
  <c r="L484" i="3"/>
  <c r="P485" i="3"/>
  <c r="Q485" i="3" s="1"/>
  <c r="R485" i="3" s="1"/>
  <c r="S485" i="3" s="1"/>
  <c r="AD485" i="3"/>
  <c r="AA485" i="3"/>
  <c r="AC485" i="3"/>
  <c r="Z485" i="3"/>
  <c r="U484" i="3" l="1"/>
  <c r="Y483" i="3"/>
  <c r="T485" i="3"/>
  <c r="D485" i="3" l="1"/>
  <c r="G485" i="3" s="1"/>
  <c r="AG485" i="3"/>
  <c r="AH485" i="3"/>
  <c r="E485" i="3"/>
  <c r="H485" i="3" s="1"/>
  <c r="K485" i="3" s="1"/>
  <c r="AE485" i="3" s="1"/>
  <c r="F485" i="3" l="1"/>
  <c r="I485" i="3"/>
  <c r="J485" i="3"/>
  <c r="M485" i="3"/>
  <c r="N485" i="3" s="1"/>
  <c r="V485" i="3"/>
  <c r="A486" i="3"/>
  <c r="B486" i="3" s="1"/>
  <c r="W485" i="3" l="1"/>
  <c r="L485" i="3"/>
  <c r="AA486" i="3"/>
  <c r="P486" i="3"/>
  <c r="Q486" i="3" s="1"/>
  <c r="R486" i="3" s="1"/>
  <c r="S486" i="3" s="1"/>
  <c r="AC486" i="3"/>
  <c r="AD486" i="3"/>
  <c r="Z486" i="3"/>
  <c r="T486" i="3" l="1"/>
  <c r="AH486" i="3" s="1"/>
  <c r="U485" i="3"/>
  <c r="Y484" i="3"/>
  <c r="D486" i="3" l="1"/>
  <c r="G486" i="3" s="1"/>
  <c r="AG486" i="3"/>
  <c r="E486" i="3"/>
  <c r="H486" i="3" s="1"/>
  <c r="K486" i="3" s="1"/>
  <c r="AE486" i="3" s="1"/>
  <c r="F486" i="3" l="1"/>
  <c r="V486" i="3"/>
  <c r="A487" i="3"/>
  <c r="B487" i="3" s="1"/>
  <c r="I486" i="3"/>
  <c r="J486" i="3"/>
  <c r="M486" i="3"/>
  <c r="N486" i="3" s="1"/>
  <c r="W486" i="3" l="1"/>
  <c r="L486" i="3"/>
  <c r="AA487" i="3"/>
  <c r="P487" i="3"/>
  <c r="Q487" i="3" s="1"/>
  <c r="R487" i="3" s="1"/>
  <c r="S487" i="3" s="1"/>
  <c r="AC487" i="3"/>
  <c r="Z487" i="3"/>
  <c r="T487" i="3" l="1"/>
  <c r="U486" i="3"/>
  <c r="Y485" i="3"/>
  <c r="E487" i="3" l="1"/>
  <c r="H487" i="3" s="1"/>
  <c r="K487" i="3" s="1"/>
  <c r="AE487" i="3" s="1"/>
  <c r="D487" i="3"/>
  <c r="AH487" i="3"/>
  <c r="AG487" i="3"/>
  <c r="V487" i="3" l="1"/>
  <c r="A488" i="3"/>
  <c r="B488" i="3" s="1"/>
  <c r="F487" i="3"/>
  <c r="G487" i="3"/>
  <c r="I487" i="3" l="1"/>
  <c r="W487" i="3" s="1"/>
  <c r="J487" i="3"/>
  <c r="AD487" i="3" s="1"/>
  <c r="M487" i="3"/>
  <c r="N487" i="3" s="1"/>
  <c r="AA488" i="3"/>
  <c r="Z488" i="3"/>
  <c r="P488" i="3"/>
  <c r="Q488" i="3" s="1"/>
  <c r="R488" i="3" s="1"/>
  <c r="S488" i="3" s="1"/>
  <c r="AC488" i="3"/>
  <c r="L487" i="3" l="1"/>
  <c r="T488" i="3"/>
  <c r="U487" i="3" l="1"/>
  <c r="D488" i="3" s="1"/>
  <c r="AG488" i="3"/>
  <c r="AH488" i="3"/>
  <c r="Y486" i="3"/>
  <c r="E488" i="3" l="1"/>
  <c r="H488" i="3" s="1"/>
  <c r="K488" i="3" s="1"/>
  <c r="AE488" i="3" s="1"/>
  <c r="G488" i="3"/>
  <c r="F488" i="3" l="1"/>
  <c r="I488" i="3"/>
  <c r="J488" i="3"/>
  <c r="AD488" i="3" s="1"/>
  <c r="M488" i="3"/>
  <c r="N488" i="3" s="1"/>
  <c r="V488" i="3"/>
  <c r="A489" i="3"/>
  <c r="B489" i="3" s="1"/>
  <c r="W488" i="3" l="1"/>
  <c r="L488" i="3"/>
  <c r="P489" i="3"/>
  <c r="Q489" i="3" s="1"/>
  <c r="R489" i="3" s="1"/>
  <c r="S489" i="3" s="1"/>
  <c r="AC489" i="3"/>
  <c r="AA489" i="3"/>
  <c r="AD489" i="3"/>
  <c r="Z489" i="3"/>
  <c r="U488" i="3" l="1"/>
  <c r="Y487" i="3"/>
  <c r="T489" i="3"/>
  <c r="AH489" i="3" s="1"/>
  <c r="AG489" i="3" l="1"/>
  <c r="D489" i="3"/>
  <c r="E489" i="3"/>
  <c r="H489" i="3" s="1"/>
  <c r="K489" i="3" s="1"/>
  <c r="AE489" i="3" s="1"/>
  <c r="F489" i="3" l="1"/>
  <c r="G489" i="3"/>
  <c r="M489" i="3" s="1"/>
  <c r="N489" i="3" s="1"/>
  <c r="V489" i="3"/>
  <c r="A490" i="3"/>
  <c r="B490" i="3" s="1"/>
  <c r="I489" i="3" l="1"/>
  <c r="W489" i="3" s="1"/>
  <c r="J489" i="3"/>
  <c r="L489" i="3" s="1"/>
  <c r="Z490" i="3"/>
  <c r="AC490" i="3"/>
  <c r="P490" i="3"/>
  <c r="Q490" i="3" s="1"/>
  <c r="R490" i="3" s="1"/>
  <c r="S490" i="3" s="1"/>
  <c r="AD490" i="3"/>
  <c r="AA490" i="3"/>
  <c r="T490" i="3" l="1"/>
  <c r="AH490" i="3" s="1"/>
  <c r="U489" i="3"/>
  <c r="Y488" i="3"/>
  <c r="E490" i="3" l="1"/>
  <c r="H490" i="3" s="1"/>
  <c r="K490" i="3" s="1"/>
  <c r="AE490" i="3" s="1"/>
  <c r="D490" i="3"/>
  <c r="AG490" i="3"/>
  <c r="V490" i="3" l="1"/>
  <c r="A491" i="3"/>
  <c r="B491" i="3" s="1"/>
  <c r="F490" i="3"/>
  <c r="G490" i="3"/>
  <c r="I490" i="3" l="1"/>
  <c r="W490" i="3" s="1"/>
  <c r="J490" i="3"/>
  <c r="M490" i="3"/>
  <c r="N490" i="3" s="1"/>
  <c r="P491" i="3"/>
  <c r="Q491" i="3" s="1"/>
  <c r="R491" i="3" s="1"/>
  <c r="S491" i="3" s="1"/>
  <c r="Z491" i="3"/>
  <c r="AC491" i="3"/>
  <c r="AA491" i="3"/>
  <c r="T491" i="3" l="1"/>
  <c r="L490" i="3"/>
  <c r="AH491" i="3" l="1"/>
  <c r="U490" i="3"/>
  <c r="D491" i="3" s="1"/>
  <c r="AG491" i="3"/>
  <c r="Y489" i="3"/>
  <c r="E491" i="3" l="1"/>
  <c r="H491" i="3" s="1"/>
  <c r="K491" i="3" s="1"/>
  <c r="AE491" i="3" s="1"/>
  <c r="G491" i="3"/>
  <c r="F491" i="3" l="1"/>
  <c r="I491" i="3"/>
  <c r="J491" i="3"/>
  <c r="AD491" i="3" s="1"/>
  <c r="M491" i="3"/>
  <c r="N491" i="3" s="1"/>
  <c r="V491" i="3"/>
  <c r="A492" i="3"/>
  <c r="B492" i="3" s="1"/>
  <c r="W491" i="3" l="1"/>
  <c r="L491" i="3"/>
  <c r="AC492" i="3"/>
  <c r="AA492" i="3"/>
  <c r="P492" i="3"/>
  <c r="Q492" i="3" s="1"/>
  <c r="R492" i="3" s="1"/>
  <c r="S492" i="3" s="1"/>
  <c r="Z492" i="3"/>
  <c r="AD492" i="3"/>
  <c r="T492" i="3" l="1"/>
  <c r="U491" i="3"/>
  <c r="Y490" i="3"/>
  <c r="D492" i="3" l="1"/>
  <c r="G492" i="3" s="1"/>
  <c r="AH492" i="3"/>
  <c r="AG492" i="3"/>
  <c r="E492" i="3"/>
  <c r="H492" i="3" s="1"/>
  <c r="F492" i="3" l="1"/>
  <c r="I492" i="3"/>
  <c r="J492" i="3"/>
  <c r="M492" i="3"/>
  <c r="N492" i="3" s="1"/>
  <c r="K492" i="3"/>
  <c r="AE492" i="3" s="1"/>
  <c r="L492" i="3" l="1"/>
  <c r="V492" i="3"/>
  <c r="W492" i="3" s="1"/>
  <c r="A493" i="3"/>
  <c r="B493" i="3" s="1"/>
  <c r="U492" i="3" l="1"/>
  <c r="Y491" i="3"/>
  <c r="P493" i="3"/>
  <c r="Q493" i="3" s="1"/>
  <c r="R493" i="3" s="1"/>
  <c r="S493" i="3" s="1"/>
  <c r="AC493" i="3"/>
  <c r="AA493" i="3"/>
  <c r="Z493" i="3"/>
  <c r="AD493" i="3"/>
  <c r="T493" i="3" l="1"/>
  <c r="AH493" i="3" s="1"/>
  <c r="AG493" i="3" l="1"/>
  <c r="E493" i="3"/>
  <c r="H493" i="3" s="1"/>
  <c r="K493" i="3" s="1"/>
  <c r="AE493" i="3" s="1"/>
  <c r="D493" i="3"/>
  <c r="F493" i="3" l="1"/>
  <c r="G493" i="3"/>
  <c r="J493" i="3" s="1"/>
  <c r="V493" i="3"/>
  <c r="A494" i="3"/>
  <c r="B494" i="3" s="1"/>
  <c r="M493" i="3" l="1"/>
  <c r="N493" i="3" s="1"/>
  <c r="I493" i="3"/>
  <c r="W493" i="3" s="1"/>
  <c r="L493" i="3"/>
  <c r="P494" i="3"/>
  <c r="Q494" i="3" s="1"/>
  <c r="R494" i="3" s="1"/>
  <c r="S494" i="3" s="1"/>
  <c r="AC494" i="3"/>
  <c r="Z494" i="3"/>
  <c r="AA494" i="3"/>
  <c r="T494" i="3" l="1"/>
  <c r="AH494" i="3" s="1"/>
  <c r="U493" i="3"/>
  <c r="Y492" i="3"/>
  <c r="E494" i="3" l="1"/>
  <c r="H494" i="3" s="1"/>
  <c r="K494" i="3" s="1"/>
  <c r="AE494" i="3" s="1"/>
  <c r="D494" i="3"/>
  <c r="AG494" i="3"/>
  <c r="F494" i="3" l="1"/>
  <c r="G494" i="3"/>
  <c r="V494" i="3"/>
  <c r="A495" i="3"/>
  <c r="B495" i="3" s="1"/>
  <c r="Z495" i="3" l="1"/>
  <c r="P495" i="3"/>
  <c r="Q495" i="3" s="1"/>
  <c r="R495" i="3" s="1"/>
  <c r="S495" i="3" s="1"/>
  <c r="AA495" i="3"/>
  <c r="AD495" i="3"/>
  <c r="AC495" i="3"/>
  <c r="I494" i="3"/>
  <c r="W494" i="3" s="1"/>
  <c r="J494" i="3"/>
  <c r="AD494" i="3" s="1"/>
  <c r="M494" i="3"/>
  <c r="N494" i="3" s="1"/>
  <c r="L494" i="3" l="1"/>
  <c r="T495" i="3"/>
  <c r="AG495" i="3" l="1"/>
  <c r="U494" i="3"/>
  <c r="D495" i="3" s="1"/>
  <c r="AH495" i="3"/>
  <c r="Y493" i="3"/>
  <c r="E495" i="3" l="1"/>
  <c r="H495" i="3" s="1"/>
  <c r="K495" i="3" s="1"/>
  <c r="AE495" i="3" s="1"/>
  <c r="G495" i="3"/>
  <c r="F495" i="3" l="1"/>
  <c r="V495" i="3"/>
  <c r="A496" i="3"/>
  <c r="B496" i="3" s="1"/>
  <c r="I495" i="3"/>
  <c r="J495" i="3"/>
  <c r="M495" i="3"/>
  <c r="N495" i="3" s="1"/>
  <c r="W495" i="3" l="1"/>
  <c r="L495" i="3"/>
  <c r="AD496" i="3"/>
  <c r="AA496" i="3"/>
  <c r="P496" i="3"/>
  <c r="Q496" i="3" s="1"/>
  <c r="R496" i="3" s="1"/>
  <c r="S496" i="3" s="1"/>
  <c r="Z496" i="3"/>
  <c r="AC496" i="3"/>
  <c r="U495" i="3" l="1"/>
  <c r="Y494" i="3"/>
  <c r="T496" i="3"/>
  <c r="AH496" i="3" s="1"/>
  <c r="D496" i="3" l="1"/>
  <c r="G496" i="3" s="1"/>
  <c r="AG496" i="3"/>
  <c r="E496" i="3"/>
  <c r="H496" i="3" s="1"/>
  <c r="K496" i="3" s="1"/>
  <c r="AE496" i="3" s="1"/>
  <c r="F496" i="3" l="1"/>
  <c r="V496" i="3"/>
  <c r="A497" i="3"/>
  <c r="B497" i="3" s="1"/>
  <c r="I496" i="3"/>
  <c r="J496" i="3"/>
  <c r="M496" i="3"/>
  <c r="N496" i="3" s="1"/>
  <c r="W496" i="3" l="1"/>
  <c r="L496" i="3"/>
  <c r="P497" i="3"/>
  <c r="Q497" i="3" s="1"/>
  <c r="R497" i="3" s="1"/>
  <c r="S497" i="3" s="1"/>
  <c r="AC497" i="3"/>
  <c r="AA497" i="3"/>
  <c r="Z497" i="3"/>
  <c r="U496" i="3" l="1"/>
  <c r="Y495" i="3"/>
  <c r="T497" i="3"/>
  <c r="AG497" i="3" s="1"/>
  <c r="E497" i="3" l="1"/>
  <c r="H497" i="3" s="1"/>
  <c r="D497" i="3"/>
  <c r="AH497" i="3"/>
  <c r="F497" i="3" l="1"/>
  <c r="G497" i="3"/>
  <c r="K497" i="3"/>
  <c r="AE497" i="3" s="1"/>
  <c r="I497" i="3" l="1"/>
  <c r="J497" i="3"/>
  <c r="AD497" i="3" s="1"/>
  <c r="M497" i="3"/>
  <c r="N497" i="3" s="1"/>
  <c r="V497" i="3"/>
  <c r="A498" i="3"/>
  <c r="B498" i="3" s="1"/>
  <c r="W497" i="3" l="1"/>
  <c r="L497" i="3"/>
  <c r="Z498" i="3"/>
  <c r="AC498" i="3"/>
  <c r="AA498" i="3"/>
  <c r="P498" i="3"/>
  <c r="Q498" i="3" s="1"/>
  <c r="R498" i="3" s="1"/>
  <c r="S498" i="3" s="1"/>
  <c r="U497" i="3" l="1"/>
  <c r="Y496" i="3"/>
  <c r="T498" i="3"/>
  <c r="AH498" i="3" s="1"/>
  <c r="AG498" i="3" l="1"/>
  <c r="D498" i="3"/>
  <c r="E498" i="3"/>
  <c r="H498" i="3" s="1"/>
  <c r="F498" i="3" l="1"/>
  <c r="G498" i="3"/>
  <c r="K498" i="3"/>
  <c r="AE498" i="3" s="1"/>
  <c r="I498" i="3" l="1"/>
  <c r="J498" i="3"/>
  <c r="AD498" i="3" s="1"/>
  <c r="M498" i="3"/>
  <c r="N498" i="3" s="1"/>
  <c r="V498" i="3"/>
  <c r="A499" i="3"/>
  <c r="B499" i="3" s="1"/>
  <c r="W498" i="3" l="1"/>
  <c r="L498" i="3"/>
  <c r="AC499" i="3"/>
  <c r="P499" i="3"/>
  <c r="Q499" i="3" s="1"/>
  <c r="R499" i="3" s="1"/>
  <c r="S499" i="3" s="1"/>
  <c r="AD499" i="3"/>
  <c r="AA499" i="3"/>
  <c r="Z499" i="3"/>
  <c r="T499" i="3" l="1"/>
  <c r="U498" i="3"/>
  <c r="Y497" i="3"/>
  <c r="D499" i="3" l="1"/>
  <c r="G499" i="3" s="1"/>
  <c r="AH499" i="3"/>
  <c r="E499" i="3"/>
  <c r="H499" i="3" s="1"/>
  <c r="AG499" i="3"/>
  <c r="F499" i="3" l="1"/>
  <c r="I499" i="3"/>
  <c r="J499" i="3"/>
  <c r="M499" i="3"/>
  <c r="N499" i="3" s="1"/>
  <c r="K499" i="3"/>
  <c r="AE499" i="3" s="1"/>
  <c r="V499" i="3" l="1"/>
  <c r="W499" i="3" s="1"/>
  <c r="A500" i="3"/>
  <c r="B500" i="3" s="1"/>
  <c r="L499" i="3"/>
  <c r="U499" i="3" l="1"/>
  <c r="Y498" i="3"/>
  <c r="AD500" i="3"/>
  <c r="AA500" i="3"/>
  <c r="AC500" i="3"/>
  <c r="P500" i="3"/>
  <c r="Q500" i="3" s="1"/>
  <c r="R500" i="3" s="1"/>
  <c r="S500" i="3" s="1"/>
  <c r="Z500" i="3"/>
  <c r="T500" i="3" l="1"/>
  <c r="AH500" i="3" s="1"/>
  <c r="D500" i="3" l="1"/>
  <c r="AG500" i="3"/>
  <c r="E500" i="3"/>
  <c r="H500" i="3" s="1"/>
  <c r="F500" i="3" l="1"/>
  <c r="G500" i="3"/>
  <c r="K500" i="3"/>
  <c r="AE500" i="3" s="1"/>
  <c r="I500" i="3" l="1"/>
  <c r="J500" i="3"/>
  <c r="M500" i="3"/>
  <c r="N500" i="3" s="1"/>
  <c r="V500" i="3"/>
  <c r="A501" i="3"/>
  <c r="B501" i="3" s="1"/>
  <c r="W500" i="3" l="1"/>
  <c r="L500" i="3"/>
  <c r="P501" i="3"/>
  <c r="Q501" i="3" s="1"/>
  <c r="R501" i="3" s="1"/>
  <c r="S501" i="3" s="1"/>
  <c r="AC501" i="3"/>
  <c r="Z501" i="3"/>
  <c r="AA501" i="3"/>
  <c r="U500" i="3" l="1"/>
  <c r="Y499" i="3"/>
  <c r="T501" i="3"/>
  <c r="D501" i="3" l="1"/>
  <c r="G501" i="3" s="1"/>
  <c r="E501" i="3"/>
  <c r="H501" i="3" s="1"/>
  <c r="K501" i="3" s="1"/>
  <c r="AE501" i="3" s="1"/>
  <c r="AG501" i="3"/>
  <c r="AH501" i="3"/>
  <c r="F501" i="3" l="1"/>
  <c r="I501" i="3"/>
  <c r="J501" i="3"/>
  <c r="AD501" i="3" s="1"/>
  <c r="M501" i="3"/>
  <c r="N501" i="3" s="1"/>
  <c r="V501" i="3"/>
  <c r="A502" i="3"/>
  <c r="B502" i="3" s="1"/>
  <c r="L501" i="3" l="1"/>
  <c r="W501" i="3"/>
  <c r="Z502" i="3"/>
  <c r="AA502" i="3"/>
  <c r="AC502" i="3"/>
  <c r="AD502" i="3"/>
  <c r="P502" i="3"/>
  <c r="Q502" i="3" s="1"/>
  <c r="R502" i="3" s="1"/>
  <c r="S502" i="3" s="1"/>
  <c r="U501" i="3" l="1"/>
  <c r="Y500" i="3"/>
  <c r="T502" i="3"/>
  <c r="E502" i="3" l="1"/>
  <c r="H502" i="3" s="1"/>
  <c r="K502" i="3" s="1"/>
  <c r="AE502" i="3" s="1"/>
  <c r="AG502" i="3"/>
  <c r="D502" i="3"/>
  <c r="AH502" i="3"/>
  <c r="F502" i="3" l="1"/>
  <c r="G502" i="3"/>
  <c r="V502" i="3"/>
  <c r="A503" i="3"/>
  <c r="B503" i="3" s="1"/>
  <c r="I502" i="3" l="1"/>
  <c r="W502" i="3" s="1"/>
  <c r="J502" i="3"/>
  <c r="M502" i="3"/>
  <c r="N502" i="3" s="1"/>
  <c r="AA503" i="3"/>
  <c r="P503" i="3"/>
  <c r="Q503" i="3" s="1"/>
  <c r="R503" i="3" s="1"/>
  <c r="S503" i="3" s="1"/>
  <c r="AD503" i="3"/>
  <c r="AC503" i="3"/>
  <c r="Z503" i="3"/>
  <c r="T503" i="3" l="1"/>
  <c r="L502" i="3"/>
  <c r="AG503" i="3" l="1"/>
  <c r="AH503" i="3"/>
  <c r="U502" i="3"/>
  <c r="E503" i="3" s="1"/>
  <c r="H503" i="3" s="1"/>
  <c r="Y501" i="3"/>
  <c r="D503" i="3" l="1"/>
  <c r="G503" i="3" s="1"/>
  <c r="K503" i="3"/>
  <c r="AE503" i="3" s="1"/>
  <c r="F503" i="3" l="1"/>
  <c r="V503" i="3"/>
  <c r="A504" i="3"/>
  <c r="B504" i="3" s="1"/>
  <c r="I503" i="3"/>
  <c r="J503" i="3"/>
  <c r="M503" i="3"/>
  <c r="N503" i="3" s="1"/>
  <c r="W503" i="3" l="1"/>
  <c r="L503" i="3"/>
  <c r="P504" i="3"/>
  <c r="Q504" i="3" s="1"/>
  <c r="R504" i="3" s="1"/>
  <c r="S504" i="3" s="1"/>
  <c r="Z504" i="3"/>
  <c r="AA504" i="3"/>
  <c r="AC504" i="3"/>
  <c r="U503" i="3" l="1"/>
  <c r="Y502" i="3"/>
  <c r="T504" i="3"/>
  <c r="AG504" i="3" s="1"/>
  <c r="E504" i="3" l="1"/>
  <c r="H504" i="3" s="1"/>
  <c r="K504" i="3" s="1"/>
  <c r="AE504" i="3" s="1"/>
  <c r="D504" i="3"/>
  <c r="AH504" i="3"/>
  <c r="F504" i="3" l="1"/>
  <c r="G504" i="3"/>
  <c r="I504" i="3" s="1"/>
  <c r="V504" i="3"/>
  <c r="A505" i="3"/>
  <c r="B505" i="3" s="1"/>
  <c r="J504" i="3" l="1"/>
  <c r="W504" i="3"/>
  <c r="M504" i="3"/>
  <c r="N504" i="3" s="1"/>
  <c r="P505" i="3"/>
  <c r="Q505" i="3" s="1"/>
  <c r="R505" i="3" s="1"/>
  <c r="S505" i="3" s="1"/>
  <c r="AC505" i="3"/>
  <c r="Z505" i="3"/>
  <c r="AD505" i="3"/>
  <c r="AA505" i="3"/>
  <c r="L504" i="3" l="1"/>
  <c r="Y503" i="3" s="1"/>
  <c r="AD504" i="3"/>
  <c r="T505" i="3"/>
  <c r="AH505" i="3" l="1"/>
  <c r="U504" i="3"/>
  <c r="D505" i="3" s="1"/>
  <c r="G505" i="3" s="1"/>
  <c r="AG505" i="3"/>
  <c r="E505" i="3" l="1"/>
  <c r="H505" i="3" s="1"/>
  <c r="K505" i="3" s="1"/>
  <c r="AE505" i="3" s="1"/>
  <c r="J505" i="3"/>
  <c r="I505" i="3" l="1"/>
  <c r="F505" i="3"/>
  <c r="V505" i="3"/>
  <c r="M505" i="3"/>
  <c r="N505" i="3" s="1"/>
  <c r="A506" i="3"/>
  <c r="B506" i="3" s="1"/>
  <c r="P506" i="3" s="1"/>
  <c r="Q506" i="3" s="1"/>
  <c r="R506" i="3" s="1"/>
  <c r="S506" i="3" s="1"/>
  <c r="L505" i="3"/>
  <c r="W505" i="3" l="1"/>
  <c r="AA506" i="3"/>
  <c r="AD506" i="3"/>
  <c r="AC506" i="3"/>
  <c r="Z506" i="3"/>
  <c r="U505" i="3"/>
  <c r="Y504" i="3"/>
  <c r="T506" i="3"/>
  <c r="AG506" i="3" l="1"/>
  <c r="D506" i="3"/>
  <c r="G506" i="3" s="1"/>
  <c r="AH506" i="3"/>
  <c r="E506" i="3"/>
  <c r="H506" i="3" s="1"/>
  <c r="K506" i="3" s="1"/>
  <c r="AE506" i="3" s="1"/>
  <c r="F506" i="3" l="1"/>
  <c r="I506" i="3"/>
  <c r="J506" i="3"/>
  <c r="M506" i="3"/>
  <c r="N506" i="3" s="1"/>
  <c r="V506" i="3"/>
  <c r="A507" i="3"/>
  <c r="B507" i="3" s="1"/>
  <c r="W506" i="3" l="1"/>
  <c r="L506" i="3"/>
  <c r="AC507" i="3"/>
  <c r="P507" i="3"/>
  <c r="Q507" i="3" s="1"/>
  <c r="R507" i="3" s="1"/>
  <c r="S507" i="3" s="1"/>
  <c r="AA507" i="3"/>
  <c r="Z507" i="3"/>
  <c r="U506" i="3" l="1"/>
  <c r="Y505" i="3"/>
  <c r="T507" i="3"/>
  <c r="AH507" i="3" s="1"/>
  <c r="AG507" i="3" l="1"/>
  <c r="E507" i="3"/>
  <c r="H507" i="3" s="1"/>
  <c r="D507" i="3"/>
  <c r="K507" i="3" l="1"/>
  <c r="AE507" i="3" s="1"/>
  <c r="F507" i="3"/>
  <c r="G507" i="3"/>
  <c r="I507" i="3" l="1"/>
  <c r="J507" i="3"/>
  <c r="AD507" i="3" s="1"/>
  <c r="M507" i="3"/>
  <c r="N507" i="3" s="1"/>
  <c r="V507" i="3"/>
  <c r="A508" i="3"/>
  <c r="B508" i="3" s="1"/>
  <c r="W507" i="3" l="1"/>
  <c r="L507" i="3"/>
  <c r="P508" i="3"/>
  <c r="Q508" i="3" s="1"/>
  <c r="R508" i="3" s="1"/>
  <c r="S508" i="3" s="1"/>
  <c r="AA508" i="3"/>
  <c r="Z508" i="3"/>
  <c r="AC508" i="3"/>
  <c r="U507" i="3" l="1"/>
  <c r="Y506" i="3"/>
  <c r="T508" i="3"/>
  <c r="E508" i="3" l="1"/>
  <c r="H508" i="3" s="1"/>
  <c r="K508" i="3" s="1"/>
  <c r="AE508" i="3" s="1"/>
  <c r="AH508" i="3"/>
  <c r="D508" i="3"/>
  <c r="AG508" i="3"/>
  <c r="F508" i="3" l="1"/>
  <c r="G508" i="3"/>
  <c r="V508" i="3"/>
  <c r="A509" i="3"/>
  <c r="B509" i="3" s="1"/>
  <c r="AD509" i="3" l="1"/>
  <c r="AC509" i="3"/>
  <c r="Z509" i="3"/>
  <c r="AA509" i="3"/>
  <c r="P509" i="3"/>
  <c r="Q509" i="3" s="1"/>
  <c r="R509" i="3" s="1"/>
  <c r="S509" i="3" s="1"/>
  <c r="I508" i="3"/>
  <c r="W508" i="3" s="1"/>
  <c r="J508" i="3"/>
  <c r="AD508" i="3" s="1"/>
  <c r="M508" i="3"/>
  <c r="N508" i="3" s="1"/>
  <c r="L508" i="3" l="1"/>
  <c r="T509" i="3"/>
  <c r="AG509" i="3" l="1"/>
  <c r="AH509" i="3"/>
  <c r="U508" i="3"/>
  <c r="D509" i="3" s="1"/>
  <c r="Y507" i="3"/>
  <c r="G509" i="3" l="1"/>
  <c r="E509" i="3"/>
  <c r="H509" i="3" s="1"/>
  <c r="F509" i="3" l="1"/>
  <c r="I509" i="3"/>
  <c r="J509" i="3"/>
  <c r="M509" i="3"/>
  <c r="N509" i="3" s="1"/>
  <c r="K509" i="3"/>
  <c r="AE509" i="3" s="1"/>
  <c r="V509" i="3" l="1"/>
  <c r="W509" i="3" s="1"/>
  <c r="A510" i="3"/>
  <c r="B510" i="3" s="1"/>
  <c r="L509" i="3"/>
  <c r="U509" i="3" l="1"/>
  <c r="Y508" i="3"/>
  <c r="AC510" i="3"/>
  <c r="Z510" i="3"/>
  <c r="AA510" i="3"/>
  <c r="AD510" i="3"/>
  <c r="P510" i="3"/>
  <c r="Q510" i="3" s="1"/>
  <c r="R510" i="3" s="1"/>
  <c r="S510" i="3" s="1"/>
  <c r="T510" i="3" l="1"/>
  <c r="AH510" i="3" l="1"/>
  <c r="E510" i="3"/>
  <c r="H510" i="3" s="1"/>
  <c r="D510" i="3"/>
  <c r="AG510" i="3"/>
  <c r="F510" i="3" l="1"/>
  <c r="G510" i="3"/>
  <c r="K510" i="3"/>
  <c r="AE510" i="3" s="1"/>
  <c r="V510" i="3" l="1"/>
  <c r="A511" i="3"/>
  <c r="B511" i="3" s="1"/>
  <c r="I510" i="3"/>
  <c r="J510" i="3"/>
  <c r="M510" i="3"/>
  <c r="N510" i="3" s="1"/>
  <c r="L510" i="3" l="1"/>
  <c r="AA511" i="3"/>
  <c r="AC511" i="3"/>
  <c r="P511" i="3"/>
  <c r="Q511" i="3" s="1"/>
  <c r="R511" i="3" s="1"/>
  <c r="S511" i="3" s="1"/>
  <c r="Z511" i="3"/>
  <c r="W510" i="3"/>
  <c r="U510" i="3" l="1"/>
  <c r="Y509" i="3"/>
  <c r="T511" i="3"/>
  <c r="AG511" i="3" s="1"/>
  <c r="AH511" i="3" l="1"/>
  <c r="D511" i="3"/>
  <c r="E511" i="3"/>
  <c r="H511" i="3" s="1"/>
  <c r="F511" i="3" l="1"/>
  <c r="G511" i="3"/>
  <c r="K511" i="3"/>
  <c r="AE511" i="3" s="1"/>
  <c r="V511" i="3" l="1"/>
  <c r="A512" i="3"/>
  <c r="B512" i="3" s="1"/>
  <c r="I511" i="3"/>
  <c r="J511" i="3"/>
  <c r="AD511" i="3" s="1"/>
  <c r="M511" i="3"/>
  <c r="N511" i="3" s="1"/>
  <c r="W511" i="3" l="1"/>
  <c r="L511" i="3"/>
  <c r="AC512" i="3"/>
  <c r="Z512" i="3"/>
  <c r="AA512" i="3"/>
  <c r="P512" i="3"/>
  <c r="Q512" i="3" s="1"/>
  <c r="R512" i="3" s="1"/>
  <c r="S512" i="3" s="1"/>
  <c r="AD512" i="3"/>
  <c r="T512" i="3" l="1"/>
  <c r="U511" i="3"/>
  <c r="Y510" i="3"/>
  <c r="D512" i="3" l="1"/>
  <c r="G512" i="3" s="1"/>
  <c r="AH512" i="3"/>
  <c r="E512" i="3"/>
  <c r="H512" i="3" s="1"/>
  <c r="K512" i="3" s="1"/>
  <c r="AE512" i="3" s="1"/>
  <c r="AG512" i="3"/>
  <c r="F512" i="3" l="1"/>
  <c r="I512" i="3"/>
  <c r="J512" i="3"/>
  <c r="M512" i="3"/>
  <c r="N512" i="3" s="1"/>
  <c r="V512" i="3"/>
  <c r="A513" i="3"/>
  <c r="B513" i="3" s="1"/>
  <c r="W512" i="3" l="1"/>
  <c r="L512" i="3"/>
  <c r="AA513" i="3"/>
  <c r="P513" i="3"/>
  <c r="Q513" i="3" s="1"/>
  <c r="R513" i="3" s="1"/>
  <c r="S513" i="3" s="1"/>
  <c r="AC513" i="3"/>
  <c r="AD513" i="3"/>
  <c r="Z513" i="3"/>
  <c r="T513" i="3" l="1"/>
  <c r="AG513" i="3" s="1"/>
  <c r="U512" i="3"/>
  <c r="Y511" i="3"/>
  <c r="AH513" i="3" l="1"/>
  <c r="E513" i="3"/>
  <c r="H513" i="3" s="1"/>
  <c r="D513" i="3"/>
  <c r="F513" i="3" l="1"/>
  <c r="G513" i="3"/>
  <c r="K513" i="3"/>
  <c r="AE513" i="3" s="1"/>
  <c r="V513" i="3" l="1"/>
  <c r="A514" i="3"/>
  <c r="B514" i="3" s="1"/>
  <c r="I513" i="3"/>
  <c r="J513" i="3"/>
  <c r="M513" i="3"/>
  <c r="N513" i="3" s="1"/>
  <c r="L513" i="3" l="1"/>
  <c r="Z514" i="3"/>
  <c r="AA514" i="3"/>
  <c r="AC514" i="3"/>
  <c r="P514" i="3"/>
  <c r="Q514" i="3" s="1"/>
  <c r="R514" i="3" s="1"/>
  <c r="S514" i="3" s="1"/>
  <c r="W513" i="3"/>
  <c r="T514" i="3" l="1"/>
  <c r="AH514" i="3" s="1"/>
  <c r="U513" i="3"/>
  <c r="Y512" i="3"/>
  <c r="AG514" i="3" l="1"/>
  <c r="E514" i="3"/>
  <c r="H514" i="3" s="1"/>
  <c r="D514" i="3"/>
  <c r="K514" i="3" l="1"/>
  <c r="AE514" i="3" s="1"/>
  <c r="F514" i="3"/>
  <c r="G514" i="3"/>
  <c r="V514" i="3" l="1"/>
  <c r="A515" i="3"/>
  <c r="B515" i="3" s="1"/>
  <c r="I514" i="3"/>
  <c r="J514" i="3"/>
  <c r="AD514" i="3" s="1"/>
  <c r="M514" i="3"/>
  <c r="N514" i="3" s="1"/>
  <c r="W514" i="3" l="1"/>
  <c r="L514" i="3"/>
  <c r="AD515" i="3"/>
  <c r="P515" i="3"/>
  <c r="Q515" i="3" s="1"/>
  <c r="R515" i="3" s="1"/>
  <c r="S515" i="3" s="1"/>
  <c r="AC515" i="3"/>
  <c r="Z515" i="3"/>
  <c r="AA515" i="3"/>
  <c r="U514" i="3" l="1"/>
  <c r="Y513" i="3"/>
  <c r="T515" i="3"/>
  <c r="D515" i="3" l="1"/>
  <c r="G515" i="3" s="1"/>
  <c r="AG515" i="3"/>
  <c r="AH515" i="3"/>
  <c r="E515" i="3"/>
  <c r="H515" i="3" s="1"/>
  <c r="K515" i="3" l="1"/>
  <c r="AE515" i="3" s="1"/>
  <c r="I515" i="3"/>
  <c r="J515" i="3"/>
  <c r="M515" i="3"/>
  <c r="N515" i="3" s="1"/>
  <c r="F515" i="3"/>
  <c r="L515" i="3" l="1"/>
  <c r="V515" i="3"/>
  <c r="W515" i="3" s="1"/>
  <c r="A516" i="3"/>
  <c r="B516" i="3" s="1"/>
  <c r="U515" i="3" l="1"/>
  <c r="Y514" i="3"/>
  <c r="AA516" i="3"/>
  <c r="Z516" i="3"/>
  <c r="AC516" i="3"/>
  <c r="P516" i="3"/>
  <c r="Q516" i="3" s="1"/>
  <c r="R516" i="3" s="1"/>
  <c r="S516" i="3" s="1"/>
  <c r="AD516" i="3"/>
  <c r="T516" i="3" l="1"/>
  <c r="AG516" i="3" s="1"/>
  <c r="D516" i="3" l="1"/>
  <c r="AH516" i="3"/>
  <c r="E516" i="3"/>
  <c r="H516" i="3" s="1"/>
  <c r="F516" i="3" l="1"/>
  <c r="G516" i="3"/>
  <c r="K516" i="3"/>
  <c r="AE516" i="3" s="1"/>
  <c r="I516" i="3" l="1"/>
  <c r="J516" i="3"/>
  <c r="M516" i="3"/>
  <c r="N516" i="3" s="1"/>
  <c r="V516" i="3"/>
  <c r="A517" i="3"/>
  <c r="B517" i="3" s="1"/>
  <c r="W516" i="3" l="1"/>
  <c r="L516" i="3"/>
  <c r="AC517" i="3"/>
  <c r="P517" i="3"/>
  <c r="Q517" i="3" s="1"/>
  <c r="R517" i="3" s="1"/>
  <c r="S517" i="3" s="1"/>
  <c r="AA517" i="3"/>
  <c r="Z517" i="3"/>
  <c r="U516" i="3" l="1"/>
  <c r="Y515" i="3"/>
  <c r="T517" i="3"/>
  <c r="AG517" i="3" s="1"/>
  <c r="D517" i="3" l="1"/>
  <c r="G517" i="3" s="1"/>
  <c r="AH517" i="3"/>
  <c r="E517" i="3"/>
  <c r="H517" i="3" s="1"/>
  <c r="K517" i="3" s="1"/>
  <c r="AE517" i="3" s="1"/>
  <c r="F517" i="3" l="1"/>
  <c r="I517" i="3"/>
  <c r="J517" i="3"/>
  <c r="AD517" i="3" s="1"/>
  <c r="M517" i="3"/>
  <c r="N517" i="3" s="1"/>
  <c r="V517" i="3"/>
  <c r="A518" i="3"/>
  <c r="B518" i="3" s="1"/>
  <c r="W517" i="3" l="1"/>
  <c r="L517" i="3"/>
  <c r="AA518" i="3"/>
  <c r="AC518" i="3"/>
  <c r="Z518" i="3"/>
  <c r="P518" i="3"/>
  <c r="Q518" i="3" s="1"/>
  <c r="R518" i="3" s="1"/>
  <c r="S518" i="3" s="1"/>
  <c r="U517" i="3" l="1"/>
  <c r="Y516" i="3"/>
  <c r="T518" i="3"/>
  <c r="D518" i="3" l="1"/>
  <c r="G518" i="3" s="1"/>
  <c r="E518" i="3"/>
  <c r="H518" i="3" s="1"/>
  <c r="AH518" i="3"/>
  <c r="AG518" i="3"/>
  <c r="F518" i="3" l="1"/>
  <c r="I518" i="3"/>
  <c r="J518" i="3"/>
  <c r="AD518" i="3" s="1"/>
  <c r="M518" i="3"/>
  <c r="N518" i="3" s="1"/>
  <c r="K518" i="3"/>
  <c r="AE518" i="3" s="1"/>
  <c r="V518" i="3" l="1"/>
  <c r="W518" i="3" s="1"/>
  <c r="A519" i="3"/>
  <c r="B519" i="3" s="1"/>
  <c r="L518" i="3"/>
  <c r="U518" i="3" l="1"/>
  <c r="Y517" i="3"/>
  <c r="AD519" i="3"/>
  <c r="AA519" i="3"/>
  <c r="Z519" i="3"/>
  <c r="AC519" i="3"/>
  <c r="P519" i="3"/>
  <c r="Q519" i="3" s="1"/>
  <c r="R519" i="3" s="1"/>
  <c r="S519" i="3" s="1"/>
  <c r="T519" i="3" l="1"/>
  <c r="D519" i="3" s="1"/>
  <c r="AG519" i="3" l="1"/>
  <c r="G519" i="3"/>
  <c r="AH519" i="3"/>
  <c r="E519" i="3"/>
  <c r="H519" i="3" s="1"/>
  <c r="F519" i="3" l="1"/>
  <c r="I519" i="3"/>
  <c r="J519" i="3"/>
  <c r="M519" i="3"/>
  <c r="N519" i="3" s="1"/>
  <c r="K519" i="3"/>
  <c r="AE519" i="3" s="1"/>
  <c r="V519" i="3" l="1"/>
  <c r="W519" i="3" s="1"/>
  <c r="A520" i="3"/>
  <c r="B520" i="3" s="1"/>
  <c r="L519" i="3"/>
  <c r="U519" i="3" l="1"/>
  <c r="Y518" i="3"/>
  <c r="AA520" i="3"/>
  <c r="AC520" i="3"/>
  <c r="Z520" i="3"/>
  <c r="AD520" i="3"/>
  <c r="P520" i="3"/>
  <c r="Q520" i="3" s="1"/>
  <c r="R520" i="3" s="1"/>
  <c r="S520" i="3" s="1"/>
  <c r="T520" i="3" l="1"/>
  <c r="D520" i="3" s="1"/>
  <c r="AG520" i="3" l="1"/>
  <c r="E520" i="3"/>
  <c r="H520" i="3" s="1"/>
  <c r="K520" i="3" s="1"/>
  <c r="AE520" i="3" s="1"/>
  <c r="AH520" i="3"/>
  <c r="G520" i="3"/>
  <c r="F520" i="3" l="1"/>
  <c r="I520" i="3"/>
  <c r="J520" i="3"/>
  <c r="M520" i="3"/>
  <c r="N520" i="3" s="1"/>
  <c r="V520" i="3"/>
  <c r="A521" i="3"/>
  <c r="B521" i="3" s="1"/>
  <c r="W520" i="3" l="1"/>
  <c r="L520" i="3"/>
  <c r="P521" i="3"/>
  <c r="Q521" i="3" s="1"/>
  <c r="R521" i="3" s="1"/>
  <c r="S521" i="3" s="1"/>
  <c r="AC521" i="3"/>
  <c r="AA521" i="3"/>
  <c r="Z521" i="3"/>
  <c r="U520" i="3" l="1"/>
  <c r="Y519" i="3"/>
  <c r="T521" i="3"/>
  <c r="AH521" i="3" s="1"/>
  <c r="AG521" i="3" l="1"/>
  <c r="D521" i="3"/>
  <c r="E521" i="3"/>
  <c r="H521" i="3" s="1"/>
  <c r="K521" i="3" s="1"/>
  <c r="AE521" i="3" s="1"/>
  <c r="F521" i="3" l="1"/>
  <c r="G521" i="3"/>
  <c r="I521" i="3" s="1"/>
  <c r="V521" i="3"/>
  <c r="A522" i="3"/>
  <c r="B522" i="3" s="1"/>
  <c r="M521" i="3" l="1"/>
  <c r="N521" i="3" s="1"/>
  <c r="J521" i="3"/>
  <c r="W521" i="3"/>
  <c r="AC522" i="3"/>
  <c r="P522" i="3"/>
  <c r="Q522" i="3" s="1"/>
  <c r="R522" i="3" s="1"/>
  <c r="S522" i="3" s="1"/>
  <c r="AA522" i="3"/>
  <c r="AD522" i="3"/>
  <c r="Z522" i="3"/>
  <c r="L521" i="3" l="1"/>
  <c r="U521" i="3" s="1"/>
  <c r="AD521" i="3"/>
  <c r="T522" i="3"/>
  <c r="Y520" i="3" l="1"/>
  <c r="AG522" i="3"/>
  <c r="AH522" i="3"/>
  <c r="E522" i="3"/>
  <c r="H522" i="3" s="1"/>
  <c r="D522" i="3"/>
  <c r="K522" i="3" l="1"/>
  <c r="AE522" i="3" s="1"/>
  <c r="F522" i="3"/>
  <c r="G522" i="3"/>
  <c r="I522" i="3" l="1"/>
  <c r="J522" i="3"/>
  <c r="M522" i="3"/>
  <c r="N522" i="3" s="1"/>
  <c r="V522" i="3"/>
  <c r="A523" i="3"/>
  <c r="B523" i="3" s="1"/>
  <c r="W522" i="3" l="1"/>
  <c r="L522" i="3"/>
  <c r="AC523" i="3"/>
  <c r="Z523" i="3"/>
  <c r="AD523" i="3"/>
  <c r="AA523" i="3"/>
  <c r="P523" i="3"/>
  <c r="Q523" i="3" s="1"/>
  <c r="R523" i="3" s="1"/>
  <c r="S523" i="3" s="1"/>
  <c r="U522" i="3" l="1"/>
  <c r="Y521" i="3"/>
  <c r="T523" i="3"/>
  <c r="AG523" i="3" s="1"/>
  <c r="AH523" i="3" l="1"/>
  <c r="D523" i="3"/>
  <c r="G523" i="3" s="1"/>
  <c r="E523" i="3"/>
  <c r="H523" i="3" s="1"/>
  <c r="F523" i="3" l="1"/>
  <c r="I523" i="3"/>
  <c r="J523" i="3"/>
  <c r="M523" i="3"/>
  <c r="N523" i="3" s="1"/>
  <c r="K523" i="3"/>
  <c r="AE523" i="3" s="1"/>
  <c r="V523" i="3" l="1"/>
  <c r="W523" i="3" s="1"/>
  <c r="A524" i="3"/>
  <c r="B524" i="3" s="1"/>
  <c r="L523" i="3"/>
  <c r="U523" i="3" l="1"/>
  <c r="Y522" i="3"/>
  <c r="Z524" i="3"/>
  <c r="P524" i="3"/>
  <c r="Q524" i="3" s="1"/>
  <c r="R524" i="3" s="1"/>
  <c r="S524" i="3" s="1"/>
  <c r="AC524" i="3"/>
  <c r="AA524" i="3"/>
  <c r="T524" i="3" l="1"/>
  <c r="E524" i="3" s="1"/>
  <c r="H524" i="3" s="1"/>
  <c r="D524" i="3" l="1"/>
  <c r="G524" i="3" s="1"/>
  <c r="K524" i="3"/>
  <c r="AE524" i="3" s="1"/>
  <c r="AH524" i="3"/>
  <c r="AG524" i="3"/>
  <c r="F524" i="3" l="1"/>
  <c r="I524" i="3"/>
  <c r="J524" i="3"/>
  <c r="AD524" i="3" s="1"/>
  <c r="M524" i="3"/>
  <c r="N524" i="3" s="1"/>
  <c r="V524" i="3"/>
  <c r="A525" i="3"/>
  <c r="B525" i="3" s="1"/>
  <c r="W524" i="3" l="1"/>
  <c r="L524" i="3"/>
  <c r="AA525" i="3"/>
  <c r="AC525" i="3"/>
  <c r="AD525" i="3"/>
  <c r="Z525" i="3"/>
  <c r="P525" i="3"/>
  <c r="Q525" i="3" s="1"/>
  <c r="R525" i="3" s="1"/>
  <c r="S525" i="3" s="1"/>
  <c r="T525" i="3" l="1"/>
  <c r="AH525" i="3" s="1"/>
  <c r="U524" i="3"/>
  <c r="Y523" i="3"/>
  <c r="AG525" i="3" l="1"/>
  <c r="D525" i="3"/>
  <c r="E525" i="3"/>
  <c r="H525" i="3" s="1"/>
  <c r="F525" i="3" l="1"/>
  <c r="G525" i="3"/>
  <c r="K525" i="3"/>
  <c r="AE525" i="3" s="1"/>
  <c r="I525" i="3" l="1"/>
  <c r="J525" i="3"/>
  <c r="M525" i="3"/>
  <c r="N525" i="3" s="1"/>
  <c r="V525" i="3"/>
  <c r="A526" i="3"/>
  <c r="B526" i="3" s="1"/>
  <c r="L525" i="3" l="1"/>
  <c r="W525" i="3"/>
  <c r="AA526" i="3"/>
  <c r="P526" i="3"/>
  <c r="Q526" i="3" s="1"/>
  <c r="R526" i="3" s="1"/>
  <c r="S526" i="3" s="1"/>
  <c r="Z526" i="3"/>
  <c r="AD526" i="3"/>
  <c r="AC526" i="3"/>
  <c r="T526" i="3" l="1"/>
  <c r="U525" i="3"/>
  <c r="Y524" i="3"/>
  <c r="D526" i="3" l="1"/>
  <c r="G526" i="3" s="1"/>
  <c r="AH526" i="3"/>
  <c r="E526" i="3"/>
  <c r="H526" i="3" s="1"/>
  <c r="K526" i="3" s="1"/>
  <c r="AE526" i="3" s="1"/>
  <c r="AG526" i="3"/>
  <c r="F526" i="3" l="1"/>
  <c r="V526" i="3"/>
  <c r="A527" i="3"/>
  <c r="B527" i="3" s="1"/>
  <c r="I526" i="3"/>
  <c r="J526" i="3"/>
  <c r="M526" i="3"/>
  <c r="N526" i="3" s="1"/>
  <c r="W526" i="3" l="1"/>
  <c r="L526" i="3"/>
  <c r="Z527" i="3"/>
  <c r="AC527" i="3"/>
  <c r="P527" i="3"/>
  <c r="Q527" i="3" s="1"/>
  <c r="R527" i="3" s="1"/>
  <c r="S527" i="3" s="1"/>
  <c r="AA527" i="3"/>
  <c r="U526" i="3" l="1"/>
  <c r="Y525" i="3"/>
  <c r="T527" i="3"/>
  <c r="D527" i="3" l="1"/>
  <c r="G527" i="3" s="1"/>
  <c r="E527" i="3"/>
  <c r="H527" i="3" s="1"/>
  <c r="AG527" i="3"/>
  <c r="AH527" i="3"/>
  <c r="F527" i="3" l="1"/>
  <c r="I527" i="3"/>
  <c r="J527" i="3"/>
  <c r="AD527" i="3" s="1"/>
  <c r="M527" i="3"/>
  <c r="N527" i="3" s="1"/>
  <c r="K527" i="3"/>
  <c r="AE527" i="3" s="1"/>
  <c r="V527" i="3" l="1"/>
  <c r="W527" i="3" s="1"/>
  <c r="A528" i="3"/>
  <c r="B528" i="3" s="1"/>
  <c r="L527" i="3"/>
  <c r="U527" i="3" l="1"/>
  <c r="Y526" i="3"/>
  <c r="Z528" i="3"/>
  <c r="P528" i="3"/>
  <c r="Q528" i="3" s="1"/>
  <c r="R528" i="3" s="1"/>
  <c r="S528" i="3" s="1"/>
  <c r="AC528" i="3"/>
  <c r="AA528" i="3"/>
  <c r="T528" i="3" l="1"/>
  <c r="AH528" i="3" s="1"/>
  <c r="D528" i="3" l="1"/>
  <c r="E528" i="3"/>
  <c r="H528" i="3" s="1"/>
  <c r="K528" i="3" s="1"/>
  <c r="AE528" i="3" s="1"/>
  <c r="AG528" i="3"/>
  <c r="F528" i="3" l="1"/>
  <c r="G528" i="3"/>
  <c r="M528" i="3" s="1"/>
  <c r="N528" i="3" s="1"/>
  <c r="V528" i="3"/>
  <c r="A529" i="3"/>
  <c r="B529" i="3" s="1"/>
  <c r="I528" i="3" l="1"/>
  <c r="W528" i="3" s="1"/>
  <c r="J528" i="3"/>
  <c r="Z529" i="3"/>
  <c r="AC529" i="3"/>
  <c r="AD529" i="3"/>
  <c r="P529" i="3"/>
  <c r="Q529" i="3" s="1"/>
  <c r="R529" i="3" s="1"/>
  <c r="S529" i="3" s="1"/>
  <c r="AA529" i="3"/>
  <c r="L528" i="3" l="1"/>
  <c r="AD528" i="3"/>
  <c r="U528" i="3"/>
  <c r="Y527" i="3"/>
  <c r="T529" i="3"/>
  <c r="AG529" i="3" s="1"/>
  <c r="D529" i="3" l="1"/>
  <c r="G529" i="3" s="1"/>
  <c r="AH529" i="3"/>
  <c r="E529" i="3"/>
  <c r="H529" i="3" s="1"/>
  <c r="K529" i="3" s="1"/>
  <c r="AE529" i="3" s="1"/>
  <c r="F529" i="3" l="1"/>
  <c r="I529" i="3"/>
  <c r="J529" i="3"/>
  <c r="M529" i="3"/>
  <c r="N529" i="3" s="1"/>
  <c r="V529" i="3"/>
  <c r="A530" i="3"/>
  <c r="B530" i="3" s="1"/>
  <c r="W529" i="3" l="1"/>
  <c r="L529" i="3"/>
  <c r="Z530" i="3"/>
  <c r="AD530" i="3"/>
  <c r="P530" i="3"/>
  <c r="Q530" i="3" s="1"/>
  <c r="R530" i="3" s="1"/>
  <c r="S530" i="3" s="1"/>
  <c r="AC530" i="3"/>
  <c r="AA530" i="3"/>
  <c r="T530" i="3" l="1"/>
  <c r="AG530" i="3" s="1"/>
  <c r="U529" i="3"/>
  <c r="Y528" i="3"/>
  <c r="D530" i="3" l="1"/>
  <c r="G530" i="3" s="1"/>
  <c r="AH530" i="3"/>
  <c r="E530" i="3"/>
  <c r="H530" i="3" s="1"/>
  <c r="F530" i="3" l="1"/>
  <c r="I530" i="3"/>
  <c r="J530" i="3"/>
  <c r="M530" i="3"/>
  <c r="N530" i="3" s="1"/>
  <c r="K530" i="3"/>
  <c r="AE530" i="3" s="1"/>
  <c r="V530" i="3" l="1"/>
  <c r="W530" i="3" s="1"/>
  <c r="A531" i="3"/>
  <c r="B531" i="3" s="1"/>
  <c r="L530" i="3"/>
  <c r="U530" i="3" l="1"/>
  <c r="Y529" i="3"/>
  <c r="Z531" i="3"/>
  <c r="AC531" i="3"/>
  <c r="AA531" i="3"/>
  <c r="P531" i="3"/>
  <c r="Q531" i="3" s="1"/>
  <c r="R531" i="3" s="1"/>
  <c r="S531" i="3" s="1"/>
  <c r="T531" i="3" l="1"/>
  <c r="AG531" i="3" s="1"/>
  <c r="AH531" i="3" l="1"/>
  <c r="D531" i="3"/>
  <c r="E531" i="3"/>
  <c r="H531" i="3" s="1"/>
  <c r="K531" i="3" l="1"/>
  <c r="AE531" i="3" s="1"/>
  <c r="F531" i="3"/>
  <c r="G531" i="3"/>
  <c r="I531" i="3" l="1"/>
  <c r="J531" i="3"/>
  <c r="AD531" i="3" s="1"/>
  <c r="M531" i="3"/>
  <c r="N531" i="3" s="1"/>
  <c r="V531" i="3"/>
  <c r="A532" i="3"/>
  <c r="B532" i="3" s="1"/>
  <c r="W531" i="3" l="1"/>
  <c r="L531" i="3"/>
  <c r="AD532" i="3"/>
  <c r="AC532" i="3"/>
  <c r="Z532" i="3"/>
  <c r="P532" i="3"/>
  <c r="Q532" i="3" s="1"/>
  <c r="R532" i="3" s="1"/>
  <c r="S532" i="3" s="1"/>
  <c r="AA532" i="3"/>
  <c r="U531" i="3" l="1"/>
  <c r="Y530" i="3"/>
  <c r="T532" i="3"/>
  <c r="AH532" i="3" s="1"/>
  <c r="D532" i="3" l="1"/>
  <c r="G532" i="3" s="1"/>
  <c r="AG532" i="3"/>
  <c r="E532" i="3"/>
  <c r="H532" i="3" s="1"/>
  <c r="K532" i="3" s="1"/>
  <c r="AE532" i="3" s="1"/>
  <c r="F532" i="3" l="1"/>
  <c r="V532" i="3"/>
  <c r="A533" i="3"/>
  <c r="B533" i="3" s="1"/>
  <c r="I532" i="3"/>
  <c r="J532" i="3"/>
  <c r="M532" i="3"/>
  <c r="N532" i="3" s="1"/>
  <c r="W532" i="3" l="1"/>
  <c r="L532" i="3"/>
  <c r="P533" i="3"/>
  <c r="Q533" i="3" s="1"/>
  <c r="R533" i="3" s="1"/>
  <c r="S533" i="3" s="1"/>
  <c r="AD533" i="3"/>
  <c r="AA533" i="3"/>
  <c r="Z533" i="3"/>
  <c r="AC533" i="3"/>
  <c r="T533" i="3" l="1"/>
  <c r="U532" i="3"/>
  <c r="Y531" i="3"/>
  <c r="E533" i="3" l="1"/>
  <c r="H533" i="3" s="1"/>
  <c r="K533" i="3" s="1"/>
  <c r="AE533" i="3" s="1"/>
  <c r="AH533" i="3"/>
  <c r="AG533" i="3"/>
  <c r="D533" i="3"/>
  <c r="F533" i="3" l="1"/>
  <c r="G533" i="3"/>
  <c r="V533" i="3"/>
  <c r="A534" i="3"/>
  <c r="B534" i="3" s="1"/>
  <c r="Z534" i="3" l="1"/>
  <c r="AC534" i="3"/>
  <c r="AA534" i="3"/>
  <c r="P534" i="3"/>
  <c r="Q534" i="3" s="1"/>
  <c r="R534" i="3" s="1"/>
  <c r="S534" i="3" s="1"/>
  <c r="I533" i="3"/>
  <c r="W533" i="3" s="1"/>
  <c r="J533" i="3"/>
  <c r="M533" i="3"/>
  <c r="N533" i="3" s="1"/>
  <c r="L533" i="3" l="1"/>
  <c r="T534" i="3"/>
  <c r="U533" i="3" l="1"/>
  <c r="D534" i="3" s="1"/>
  <c r="AG534" i="3"/>
  <c r="AH534" i="3"/>
  <c r="Y532" i="3"/>
  <c r="E534" i="3" l="1"/>
  <c r="H534" i="3" s="1"/>
  <c r="K534" i="3" s="1"/>
  <c r="AE534" i="3" s="1"/>
  <c r="G534" i="3"/>
  <c r="F534" i="3" l="1"/>
  <c r="V534" i="3"/>
  <c r="A535" i="3"/>
  <c r="B535" i="3" s="1"/>
  <c r="I534" i="3"/>
  <c r="J534" i="3"/>
  <c r="AD534" i="3" s="1"/>
  <c r="M534" i="3"/>
  <c r="N534" i="3" s="1"/>
  <c r="W534" i="3" l="1"/>
  <c r="L534" i="3"/>
  <c r="AA535" i="3"/>
  <c r="AC535" i="3"/>
  <c r="AD535" i="3"/>
  <c r="Z535" i="3"/>
  <c r="P535" i="3"/>
  <c r="Q535" i="3" s="1"/>
  <c r="R535" i="3" s="1"/>
  <c r="S535" i="3" s="1"/>
  <c r="T535" i="3" l="1"/>
  <c r="U534" i="3"/>
  <c r="Y533" i="3"/>
  <c r="D535" i="3" l="1"/>
  <c r="G535" i="3" s="1"/>
  <c r="E535" i="3"/>
  <c r="H535" i="3" s="1"/>
  <c r="K535" i="3" s="1"/>
  <c r="AE535" i="3" s="1"/>
  <c r="AG535" i="3"/>
  <c r="AH535" i="3"/>
  <c r="F535" i="3" l="1"/>
  <c r="V535" i="3"/>
  <c r="A536" i="3"/>
  <c r="B536" i="3" s="1"/>
  <c r="I535" i="3"/>
  <c r="J535" i="3"/>
  <c r="M535" i="3"/>
  <c r="N535" i="3" s="1"/>
  <c r="W535" i="3" l="1"/>
  <c r="L535" i="3"/>
  <c r="AC536" i="3"/>
  <c r="AA536" i="3"/>
  <c r="Z536" i="3"/>
  <c r="P536" i="3"/>
  <c r="Q536" i="3" s="1"/>
  <c r="R536" i="3" s="1"/>
  <c r="S536" i="3" s="1"/>
  <c r="AD536" i="3"/>
  <c r="U535" i="3" l="1"/>
  <c r="Y534" i="3"/>
  <c r="T536" i="3"/>
  <c r="AH536" i="3" s="1"/>
  <c r="AG536" i="3" l="1"/>
  <c r="E536" i="3"/>
  <c r="H536" i="3" s="1"/>
  <c r="D536" i="3"/>
  <c r="K536" i="3" l="1"/>
  <c r="AE536" i="3" s="1"/>
  <c r="F536" i="3"/>
  <c r="G536" i="3"/>
  <c r="I536" i="3" l="1"/>
  <c r="J536" i="3"/>
  <c r="M536" i="3"/>
  <c r="N536" i="3" s="1"/>
  <c r="V536" i="3"/>
  <c r="A537" i="3"/>
  <c r="B537" i="3" s="1"/>
  <c r="W536" i="3" l="1"/>
  <c r="L536" i="3"/>
  <c r="AC537" i="3"/>
  <c r="P537" i="3"/>
  <c r="Q537" i="3" s="1"/>
  <c r="R537" i="3" s="1"/>
  <c r="S537" i="3" s="1"/>
  <c r="Z537" i="3"/>
  <c r="AA537" i="3"/>
  <c r="U536" i="3" l="1"/>
  <c r="Y535" i="3"/>
  <c r="T537" i="3"/>
  <c r="AH537" i="3" s="1"/>
  <c r="AG537" i="3" l="1"/>
  <c r="E537" i="3"/>
  <c r="H537" i="3" s="1"/>
  <c r="D537" i="3"/>
  <c r="K537" i="3" l="1"/>
  <c r="AE537" i="3" s="1"/>
  <c r="F537" i="3"/>
  <c r="G537" i="3"/>
  <c r="I537" i="3" l="1"/>
  <c r="J537" i="3"/>
  <c r="AD537" i="3" s="1"/>
  <c r="M537" i="3"/>
  <c r="N537" i="3" s="1"/>
  <c r="V537" i="3"/>
  <c r="A538" i="3"/>
  <c r="B538" i="3" s="1"/>
  <c r="W537" i="3" l="1"/>
  <c r="L537" i="3"/>
  <c r="AA538" i="3"/>
  <c r="AC538" i="3"/>
  <c r="Z538" i="3"/>
  <c r="P538" i="3"/>
  <c r="Q538" i="3" s="1"/>
  <c r="R538" i="3" s="1"/>
  <c r="S538" i="3" s="1"/>
  <c r="T538" i="3" l="1"/>
  <c r="U537" i="3"/>
  <c r="Y536" i="3"/>
  <c r="D538" i="3" l="1"/>
  <c r="G538" i="3" s="1"/>
  <c r="AH538" i="3"/>
  <c r="AG538" i="3"/>
  <c r="E538" i="3"/>
  <c r="H538" i="3" s="1"/>
  <c r="F538" i="3" l="1"/>
  <c r="I538" i="3"/>
  <c r="J538" i="3"/>
  <c r="AD538" i="3" s="1"/>
  <c r="M538" i="3"/>
  <c r="N538" i="3" s="1"/>
  <c r="K538" i="3"/>
  <c r="AE538" i="3" s="1"/>
  <c r="V538" i="3" l="1"/>
  <c r="W538" i="3" s="1"/>
  <c r="A539" i="3"/>
  <c r="B539" i="3" s="1"/>
  <c r="L538" i="3"/>
  <c r="U538" i="3" l="1"/>
  <c r="Y537" i="3"/>
  <c r="Z539" i="3"/>
  <c r="P539" i="3"/>
  <c r="Q539" i="3" s="1"/>
  <c r="R539" i="3" s="1"/>
  <c r="S539" i="3" s="1"/>
  <c r="AA539" i="3"/>
  <c r="AC539" i="3"/>
  <c r="T539" i="3" l="1"/>
  <c r="AH539" i="3" s="1"/>
  <c r="AG539" i="3" l="1"/>
  <c r="E539" i="3"/>
  <c r="H539" i="3" s="1"/>
  <c r="K539" i="3" s="1"/>
  <c r="AE539" i="3" s="1"/>
  <c r="D539" i="3"/>
  <c r="G539" i="3" s="1"/>
  <c r="F539" i="3" l="1"/>
  <c r="V539" i="3"/>
  <c r="A540" i="3"/>
  <c r="B540" i="3" s="1"/>
  <c r="I539" i="3"/>
  <c r="J539" i="3"/>
  <c r="AD539" i="3" s="1"/>
  <c r="M539" i="3"/>
  <c r="N539" i="3" s="1"/>
  <c r="W539" i="3" l="1"/>
  <c r="L539" i="3"/>
  <c r="AA540" i="3"/>
  <c r="AC540" i="3"/>
  <c r="Z540" i="3"/>
  <c r="P540" i="3"/>
  <c r="Q540" i="3" s="1"/>
  <c r="R540" i="3" s="1"/>
  <c r="S540" i="3" s="1"/>
  <c r="U539" i="3" l="1"/>
  <c r="Y538" i="3"/>
  <c r="T540" i="3"/>
  <c r="AG540" i="3" s="1"/>
  <c r="E540" i="3" l="1"/>
  <c r="H540" i="3" s="1"/>
  <c r="D540" i="3"/>
  <c r="AH540" i="3"/>
  <c r="K540" i="3" l="1"/>
  <c r="AE540" i="3" s="1"/>
  <c r="F540" i="3"/>
  <c r="G540" i="3"/>
  <c r="V540" i="3" l="1"/>
  <c r="A541" i="3"/>
  <c r="B541" i="3" s="1"/>
  <c r="I540" i="3"/>
  <c r="J540" i="3"/>
  <c r="AD540" i="3" s="1"/>
  <c r="M540" i="3"/>
  <c r="N540" i="3" s="1"/>
  <c r="W540" i="3" l="1"/>
  <c r="L540" i="3"/>
  <c r="P541" i="3"/>
  <c r="Q541" i="3" s="1"/>
  <c r="R541" i="3" s="1"/>
  <c r="S541" i="3" s="1"/>
  <c r="AA541" i="3"/>
  <c r="Z541" i="3"/>
  <c r="AC541" i="3"/>
  <c r="U540" i="3" l="1"/>
  <c r="Y539" i="3"/>
  <c r="T541" i="3"/>
  <c r="AG541" i="3" s="1"/>
  <c r="AH541" i="3" l="1"/>
  <c r="E541" i="3"/>
  <c r="H541" i="3" s="1"/>
  <c r="D541" i="3"/>
  <c r="K541" i="3" l="1"/>
  <c r="AE541" i="3" s="1"/>
  <c r="F541" i="3"/>
  <c r="G541" i="3"/>
  <c r="I541" i="3" l="1"/>
  <c r="J541" i="3"/>
  <c r="AD541" i="3" s="1"/>
  <c r="M541" i="3"/>
  <c r="N541" i="3" s="1"/>
  <c r="V541" i="3"/>
  <c r="A542" i="3"/>
  <c r="B542" i="3" s="1"/>
  <c r="W541" i="3" l="1"/>
  <c r="L541" i="3"/>
  <c r="AC542" i="3"/>
  <c r="P542" i="3"/>
  <c r="Q542" i="3" s="1"/>
  <c r="R542" i="3" s="1"/>
  <c r="S542" i="3" s="1"/>
  <c r="AA542" i="3"/>
  <c r="Z542" i="3"/>
  <c r="T542" i="3" l="1"/>
  <c r="AH542" i="3" s="1"/>
  <c r="U541" i="3"/>
  <c r="Y540" i="3"/>
  <c r="E542" i="3" l="1"/>
  <c r="H542" i="3" s="1"/>
  <c r="K542" i="3" s="1"/>
  <c r="AE542" i="3" s="1"/>
  <c r="AG542" i="3"/>
  <c r="D542" i="3"/>
  <c r="F542" i="3" l="1"/>
  <c r="G542" i="3"/>
  <c r="V542" i="3"/>
  <c r="A543" i="3"/>
  <c r="B543" i="3" s="1"/>
  <c r="P543" i="3" l="1"/>
  <c r="Q543" i="3" s="1"/>
  <c r="R543" i="3" s="1"/>
  <c r="S543" i="3" s="1"/>
  <c r="Z543" i="3"/>
  <c r="AA543" i="3"/>
  <c r="AC543" i="3"/>
  <c r="I542" i="3"/>
  <c r="W542" i="3" s="1"/>
  <c r="J542" i="3"/>
  <c r="AD542" i="3" s="1"/>
  <c r="M542" i="3"/>
  <c r="N542" i="3" s="1"/>
  <c r="T543" i="3" l="1"/>
  <c r="L542" i="3"/>
  <c r="AH543" i="3" l="1"/>
  <c r="U542" i="3"/>
  <c r="E543" i="3" s="1"/>
  <c r="H543" i="3" s="1"/>
  <c r="AG543" i="3"/>
  <c r="Y541" i="3"/>
  <c r="D543" i="3" l="1"/>
  <c r="G543" i="3" s="1"/>
  <c r="K543" i="3"/>
  <c r="AE543" i="3" s="1"/>
  <c r="F543" i="3" l="1"/>
  <c r="I543" i="3"/>
  <c r="J543" i="3"/>
  <c r="AD543" i="3" s="1"/>
  <c r="M543" i="3"/>
  <c r="N543" i="3" s="1"/>
  <c r="V543" i="3"/>
  <c r="A544" i="3"/>
  <c r="B544" i="3" s="1"/>
  <c r="W543" i="3" l="1"/>
  <c r="L543" i="3"/>
  <c r="P544" i="3"/>
  <c r="Q544" i="3" s="1"/>
  <c r="R544" i="3" s="1"/>
  <c r="S544" i="3" s="1"/>
  <c r="Z544" i="3"/>
  <c r="AC544" i="3"/>
  <c r="AA544" i="3"/>
  <c r="U543" i="3" l="1"/>
  <c r="Y542" i="3"/>
  <c r="T544" i="3"/>
  <c r="AG544" i="3" s="1"/>
  <c r="E544" i="3" l="1"/>
  <c r="H544" i="3" s="1"/>
  <c r="D544" i="3"/>
  <c r="AH544" i="3"/>
  <c r="K544" i="3" l="1"/>
  <c r="AE544" i="3" s="1"/>
  <c r="F544" i="3"/>
  <c r="G544" i="3"/>
  <c r="I544" i="3" l="1"/>
  <c r="J544" i="3"/>
  <c r="AD544" i="3" s="1"/>
  <c r="M544" i="3"/>
  <c r="N544" i="3" s="1"/>
  <c r="V544" i="3"/>
  <c r="A545" i="3"/>
  <c r="B545" i="3" s="1"/>
  <c r="W544" i="3" l="1"/>
  <c r="L544" i="3"/>
  <c r="Z545" i="3"/>
  <c r="AA545" i="3"/>
  <c r="AC545" i="3"/>
  <c r="P545" i="3"/>
  <c r="Q545" i="3" s="1"/>
  <c r="R545" i="3" s="1"/>
  <c r="S545" i="3" s="1"/>
  <c r="U544" i="3" l="1"/>
  <c r="Y543" i="3"/>
  <c r="T545" i="3"/>
  <c r="AH545" i="3" s="1"/>
  <c r="E545" i="3" l="1"/>
  <c r="H545" i="3" s="1"/>
  <c r="K545" i="3" s="1"/>
  <c r="AE545" i="3" s="1"/>
  <c r="D545" i="3"/>
  <c r="AG545" i="3"/>
  <c r="V545" i="3" l="1"/>
  <c r="A546" i="3"/>
  <c r="B546" i="3" s="1"/>
  <c r="F545" i="3"/>
  <c r="G545" i="3"/>
  <c r="I545" i="3" l="1"/>
  <c r="W545" i="3" s="1"/>
  <c r="J545" i="3"/>
  <c r="AD545" i="3" s="1"/>
  <c r="M545" i="3"/>
  <c r="N545" i="3" s="1"/>
  <c r="AC546" i="3"/>
  <c r="P546" i="3"/>
  <c r="Q546" i="3" s="1"/>
  <c r="R546" i="3" s="1"/>
  <c r="S546" i="3" s="1"/>
  <c r="Z546" i="3"/>
  <c r="AA546" i="3"/>
  <c r="T546" i="3" l="1"/>
  <c r="L545" i="3"/>
  <c r="U545" i="3" l="1"/>
  <c r="D546" i="3" s="1"/>
  <c r="AG546" i="3"/>
  <c r="AH546" i="3"/>
  <c r="Y544" i="3"/>
  <c r="E546" i="3" l="1"/>
  <c r="H546" i="3" s="1"/>
  <c r="K546" i="3" s="1"/>
  <c r="AE546" i="3" s="1"/>
  <c r="G546" i="3"/>
  <c r="F546" i="3" l="1"/>
  <c r="V546" i="3"/>
  <c r="A547" i="3"/>
  <c r="B547" i="3" s="1"/>
  <c r="I546" i="3"/>
  <c r="J546" i="3"/>
  <c r="AD546" i="3" s="1"/>
  <c r="M546" i="3"/>
  <c r="N546" i="3" s="1"/>
  <c r="W546" i="3" l="1"/>
  <c r="L546" i="3"/>
  <c r="AC547" i="3"/>
  <c r="P547" i="3"/>
  <c r="Q547" i="3" s="1"/>
  <c r="R547" i="3" s="1"/>
  <c r="S547" i="3" s="1"/>
  <c r="AA547" i="3"/>
  <c r="Z547" i="3"/>
  <c r="U546" i="3" l="1"/>
  <c r="Y545" i="3"/>
  <c r="T547" i="3"/>
  <c r="AG547" i="3" s="1"/>
  <c r="E547" i="3" l="1"/>
  <c r="H547" i="3" s="1"/>
  <c r="K547" i="3" s="1"/>
  <c r="AE547" i="3" s="1"/>
  <c r="D547" i="3"/>
  <c r="G547" i="3" s="1"/>
  <c r="AH547" i="3"/>
  <c r="F547" i="3" l="1"/>
  <c r="I547" i="3"/>
  <c r="J547" i="3"/>
  <c r="AD547" i="3" s="1"/>
  <c r="M547" i="3"/>
  <c r="N547" i="3" s="1"/>
  <c r="V547" i="3"/>
  <c r="A548" i="3"/>
  <c r="B548" i="3" s="1"/>
  <c r="W547" i="3" l="1"/>
  <c r="L547" i="3"/>
  <c r="Z548" i="3"/>
  <c r="AA548" i="3"/>
  <c r="P548" i="3"/>
  <c r="Q548" i="3" s="1"/>
  <c r="R548" i="3" s="1"/>
  <c r="S548" i="3" s="1"/>
  <c r="AC548" i="3"/>
  <c r="U547" i="3" l="1"/>
  <c r="Y546" i="3"/>
  <c r="T548" i="3"/>
  <c r="E548" i="3" l="1"/>
  <c r="H548" i="3" s="1"/>
  <c r="K548" i="3" s="1"/>
  <c r="AE548" i="3" s="1"/>
  <c r="D548" i="3"/>
  <c r="AG548" i="3"/>
  <c r="AH548" i="3"/>
  <c r="V548" i="3" l="1"/>
  <c r="A549" i="3"/>
  <c r="B549" i="3" s="1"/>
  <c r="F548" i="3"/>
  <c r="G548" i="3"/>
  <c r="I548" i="3" l="1"/>
  <c r="W548" i="3" s="1"/>
  <c r="J548" i="3"/>
  <c r="AD548" i="3" s="1"/>
  <c r="M548" i="3"/>
  <c r="N548" i="3" s="1"/>
  <c r="P549" i="3"/>
  <c r="Q549" i="3" s="1"/>
  <c r="R549" i="3" s="1"/>
  <c r="S549" i="3" s="1"/>
  <c r="AC549" i="3"/>
  <c r="AA549" i="3"/>
  <c r="Z549" i="3"/>
  <c r="T549" i="3" l="1"/>
  <c r="L548" i="3"/>
  <c r="AH549" i="3" l="1"/>
  <c r="U548" i="3"/>
  <c r="E549" i="3" s="1"/>
  <c r="H549" i="3" s="1"/>
  <c r="AG549" i="3"/>
  <c r="Y547" i="3"/>
  <c r="K549" i="3" l="1"/>
  <c r="AE549" i="3" s="1"/>
  <c r="D549" i="3"/>
  <c r="V549" i="3" l="1"/>
  <c r="A550" i="3"/>
  <c r="B550" i="3" s="1"/>
  <c r="F549" i="3"/>
  <c r="G549" i="3"/>
  <c r="I549" i="3" l="1"/>
  <c r="W549" i="3" s="1"/>
  <c r="J549" i="3"/>
  <c r="AD549" i="3" s="1"/>
  <c r="M549" i="3"/>
  <c r="N549" i="3" s="1"/>
  <c r="P550" i="3"/>
  <c r="Q550" i="3" s="1"/>
  <c r="R550" i="3" s="1"/>
  <c r="S550" i="3" s="1"/>
  <c r="AA550" i="3"/>
  <c r="AC550" i="3"/>
  <c r="Z550" i="3"/>
  <c r="T550" i="3" l="1"/>
  <c r="L549" i="3"/>
  <c r="U549" i="3" l="1"/>
  <c r="D550" i="3" s="1"/>
  <c r="AH550" i="3"/>
  <c r="AG550" i="3"/>
  <c r="Y548" i="3"/>
  <c r="E550" i="3" l="1"/>
  <c r="H550" i="3" s="1"/>
  <c r="K550" i="3" s="1"/>
  <c r="AE550" i="3" s="1"/>
  <c r="G550" i="3"/>
  <c r="F550" i="3" l="1"/>
  <c r="I550" i="3"/>
  <c r="J550" i="3"/>
  <c r="AD550" i="3" s="1"/>
  <c r="M550" i="3"/>
  <c r="N550" i="3" s="1"/>
  <c r="V550" i="3"/>
  <c r="A551" i="3"/>
  <c r="B551" i="3" s="1"/>
  <c r="W550" i="3" l="1"/>
  <c r="L550" i="3"/>
  <c r="P551" i="3"/>
  <c r="Q551" i="3" s="1"/>
  <c r="R551" i="3" s="1"/>
  <c r="S551" i="3" s="1"/>
  <c r="AC551" i="3"/>
  <c r="AA551" i="3"/>
  <c r="Z551" i="3"/>
  <c r="T551" i="3" l="1"/>
  <c r="AG551" i="3" s="1"/>
  <c r="U550" i="3"/>
  <c r="Y549" i="3"/>
  <c r="D551" i="3" l="1"/>
  <c r="G551" i="3" s="1"/>
  <c r="AH551" i="3"/>
  <c r="E551" i="3"/>
  <c r="H551" i="3" s="1"/>
  <c r="F551" i="3" l="1"/>
  <c r="I551" i="3"/>
  <c r="J551" i="3"/>
  <c r="AD551" i="3" s="1"/>
  <c r="M551" i="3"/>
  <c r="N551" i="3" s="1"/>
  <c r="K551" i="3"/>
  <c r="AE551" i="3" s="1"/>
  <c r="V551" i="3" l="1"/>
  <c r="W551" i="3" s="1"/>
  <c r="A552" i="3"/>
  <c r="B552" i="3" s="1"/>
  <c r="L551" i="3"/>
  <c r="U551" i="3" l="1"/>
  <c r="Y550" i="3"/>
  <c r="AA552" i="3"/>
  <c r="P552" i="3"/>
  <c r="Q552" i="3" s="1"/>
  <c r="R552" i="3" s="1"/>
  <c r="S552" i="3" s="1"/>
  <c r="AC552" i="3"/>
  <c r="Z552" i="3"/>
  <c r="T552" i="3" l="1"/>
  <c r="D552" i="3" s="1"/>
  <c r="AG552" i="3" l="1"/>
  <c r="AH552" i="3"/>
  <c r="E552" i="3"/>
  <c r="H552" i="3" s="1"/>
  <c r="K552" i="3" s="1"/>
  <c r="AE552" i="3" s="1"/>
  <c r="G552" i="3"/>
  <c r="F552" i="3" l="1"/>
  <c r="I552" i="3"/>
  <c r="J552" i="3"/>
  <c r="AD552" i="3" s="1"/>
  <c r="M552" i="3"/>
  <c r="N552" i="3" s="1"/>
  <c r="V552" i="3"/>
  <c r="A553" i="3"/>
  <c r="B553" i="3" s="1"/>
  <c r="W552" i="3" l="1"/>
  <c r="L552" i="3"/>
  <c r="P553" i="3"/>
  <c r="Q553" i="3" s="1"/>
  <c r="R553" i="3" s="1"/>
  <c r="S553" i="3" s="1"/>
  <c r="Z553" i="3"/>
  <c r="AC553" i="3"/>
  <c r="AA553" i="3"/>
  <c r="T553" i="3" l="1"/>
  <c r="U552" i="3"/>
  <c r="Y551" i="3"/>
  <c r="D553" i="3" l="1"/>
  <c r="G553" i="3" s="1"/>
  <c r="AH553" i="3"/>
  <c r="AG553" i="3"/>
  <c r="E553" i="3"/>
  <c r="H553" i="3" s="1"/>
  <c r="K553" i="3" l="1"/>
  <c r="AE553" i="3" s="1"/>
  <c r="F553" i="3"/>
  <c r="I553" i="3"/>
  <c r="J553" i="3"/>
  <c r="AD553" i="3" s="1"/>
  <c r="M553" i="3"/>
  <c r="N553" i="3" s="1"/>
  <c r="V553" i="3" l="1"/>
  <c r="W553" i="3" s="1"/>
  <c r="A554" i="3"/>
  <c r="B554" i="3" s="1"/>
  <c r="L553" i="3"/>
  <c r="U553" i="3" l="1"/>
  <c r="Y552" i="3"/>
  <c r="AA554" i="3"/>
  <c r="AC554" i="3"/>
  <c r="P554" i="3"/>
  <c r="Q554" i="3" s="1"/>
  <c r="R554" i="3" s="1"/>
  <c r="S554" i="3" s="1"/>
  <c r="Z554" i="3"/>
  <c r="T554" i="3" l="1"/>
  <c r="AH554" i="3" s="1"/>
  <c r="E554" i="3" l="1"/>
  <c r="H554" i="3" s="1"/>
  <c r="K554" i="3" s="1"/>
  <c r="AE554" i="3" s="1"/>
  <c r="AG554" i="3"/>
  <c r="D554" i="3"/>
  <c r="V554" i="3" l="1"/>
  <c r="A555" i="3"/>
  <c r="B555" i="3" s="1"/>
  <c r="F554" i="3"/>
  <c r="G554" i="3"/>
  <c r="I554" i="3" l="1"/>
  <c r="W554" i="3" s="1"/>
  <c r="J554" i="3"/>
  <c r="AD554" i="3" s="1"/>
  <c r="M554" i="3"/>
  <c r="N554" i="3" s="1"/>
  <c r="AA555" i="3"/>
  <c r="Z555" i="3"/>
  <c r="AC555" i="3"/>
  <c r="P555" i="3"/>
  <c r="Q555" i="3" s="1"/>
  <c r="R555" i="3" s="1"/>
  <c r="S555" i="3" s="1"/>
  <c r="L554" i="3" l="1"/>
  <c r="T555" i="3"/>
  <c r="U554" i="3" l="1"/>
  <c r="E555" i="3" s="1"/>
  <c r="H555" i="3" s="1"/>
  <c r="AG555" i="3"/>
  <c r="AH555" i="3"/>
  <c r="Y553" i="3"/>
  <c r="K555" i="3" l="1"/>
  <c r="AE555" i="3" s="1"/>
  <c r="D555" i="3"/>
  <c r="F555" i="3" l="1"/>
  <c r="G555" i="3"/>
  <c r="V555" i="3"/>
  <c r="A556" i="3"/>
  <c r="B556" i="3" s="1"/>
  <c r="P556" i="3" l="1"/>
  <c r="Q556" i="3" s="1"/>
  <c r="R556" i="3" s="1"/>
  <c r="S556" i="3" s="1"/>
  <c r="AA556" i="3"/>
  <c r="Z556" i="3"/>
  <c r="AC556" i="3"/>
  <c r="I555" i="3"/>
  <c r="W555" i="3" s="1"/>
  <c r="J555" i="3"/>
  <c r="AD555" i="3" s="1"/>
  <c r="M555" i="3"/>
  <c r="N555" i="3" s="1"/>
  <c r="T556" i="3" l="1"/>
  <c r="L555" i="3"/>
  <c r="AH556" i="3" l="1"/>
  <c r="U555" i="3"/>
  <c r="D556" i="3" s="1"/>
  <c r="AG556" i="3"/>
  <c r="Y554" i="3"/>
  <c r="E556" i="3" l="1"/>
  <c r="H556" i="3" s="1"/>
  <c r="K556" i="3" s="1"/>
  <c r="AE556" i="3" s="1"/>
  <c r="G556" i="3"/>
  <c r="F556" i="3" l="1"/>
  <c r="I556" i="3"/>
  <c r="J556" i="3"/>
  <c r="AD556" i="3" s="1"/>
  <c r="M556" i="3"/>
  <c r="N556" i="3" s="1"/>
  <c r="V556" i="3"/>
  <c r="A557" i="3"/>
  <c r="B557" i="3" s="1"/>
  <c r="W556" i="3" l="1"/>
  <c r="L556" i="3"/>
  <c r="P557" i="3"/>
  <c r="Q557" i="3" s="1"/>
  <c r="R557" i="3" s="1"/>
  <c r="S557" i="3" s="1"/>
  <c r="AA557" i="3"/>
  <c r="AC557" i="3"/>
  <c r="Z557" i="3"/>
  <c r="U556" i="3" l="1"/>
  <c r="Y555" i="3"/>
  <c r="T557" i="3"/>
  <c r="AH557" i="3" s="1"/>
  <c r="D557" i="3" l="1"/>
  <c r="G557" i="3" s="1"/>
  <c r="AG557" i="3"/>
  <c r="E557" i="3"/>
  <c r="H557" i="3" s="1"/>
  <c r="K557" i="3" s="1"/>
  <c r="AE557" i="3" s="1"/>
  <c r="F557" i="3" l="1"/>
  <c r="I557" i="3"/>
  <c r="J557" i="3"/>
  <c r="AD557" i="3" s="1"/>
  <c r="M557" i="3"/>
  <c r="N557" i="3" s="1"/>
  <c r="V557" i="3"/>
  <c r="A558" i="3"/>
  <c r="B558" i="3" s="1"/>
  <c r="W557" i="3" l="1"/>
  <c r="L557" i="3"/>
  <c r="AA558" i="3"/>
  <c r="P558" i="3"/>
  <c r="Q558" i="3" s="1"/>
  <c r="R558" i="3" s="1"/>
  <c r="S558" i="3" s="1"/>
  <c r="Z558" i="3"/>
  <c r="AC558" i="3"/>
  <c r="T558" i="3" l="1"/>
  <c r="AG558" i="3" s="1"/>
  <c r="U557" i="3"/>
  <c r="Y556" i="3"/>
  <c r="E558" i="3" l="1"/>
  <c r="H558" i="3" s="1"/>
  <c r="AH558" i="3"/>
  <c r="D558" i="3"/>
  <c r="F558" i="3" l="1"/>
  <c r="G558" i="3"/>
  <c r="K558" i="3"/>
  <c r="AE558" i="3" s="1"/>
  <c r="I558" i="3" l="1"/>
  <c r="J558" i="3"/>
  <c r="AD558" i="3" s="1"/>
  <c r="M558" i="3"/>
  <c r="N558" i="3" s="1"/>
  <c r="V558" i="3"/>
  <c r="A559" i="3"/>
  <c r="B559" i="3" s="1"/>
  <c r="W558" i="3" l="1"/>
  <c r="L558" i="3"/>
  <c r="AC559" i="3"/>
  <c r="P559" i="3"/>
  <c r="Q559" i="3" s="1"/>
  <c r="R559" i="3" s="1"/>
  <c r="S559" i="3" s="1"/>
  <c r="AA559" i="3"/>
  <c r="Z559" i="3"/>
  <c r="AD559" i="3"/>
  <c r="T559" i="3" l="1"/>
  <c r="U558" i="3"/>
  <c r="Y557" i="3"/>
  <c r="E559" i="3" l="1"/>
  <c r="H559" i="3" s="1"/>
  <c r="K559" i="3" s="1"/>
  <c r="AE559" i="3" s="1"/>
  <c r="AH559" i="3"/>
  <c r="AG559" i="3"/>
  <c r="D559" i="3"/>
  <c r="V559" i="3" l="1"/>
  <c r="A560" i="3"/>
  <c r="B560" i="3" s="1"/>
  <c r="F559" i="3"/>
  <c r="G559" i="3"/>
  <c r="I559" i="3" l="1"/>
  <c r="W559" i="3" s="1"/>
  <c r="J559" i="3"/>
  <c r="M559" i="3"/>
  <c r="N559" i="3" s="1"/>
  <c r="AD560" i="3"/>
  <c r="Z560" i="3"/>
  <c r="AC560" i="3"/>
  <c r="AA560" i="3"/>
  <c r="P560" i="3"/>
  <c r="Q560" i="3" s="1"/>
  <c r="R560" i="3" s="1"/>
  <c r="S560" i="3" s="1"/>
  <c r="T560" i="3" l="1"/>
  <c r="L559" i="3"/>
  <c r="AG560" i="3" l="1"/>
  <c r="U559" i="3"/>
  <c r="D560" i="3" s="1"/>
  <c r="AH560" i="3"/>
  <c r="Y558" i="3"/>
  <c r="E560" i="3" l="1"/>
  <c r="H560" i="3" s="1"/>
  <c r="K560" i="3" s="1"/>
  <c r="AE560" i="3" s="1"/>
  <c r="G560" i="3"/>
  <c r="F560" i="3" l="1"/>
  <c r="V560" i="3"/>
  <c r="A561" i="3"/>
  <c r="B561" i="3" s="1"/>
  <c r="I560" i="3"/>
  <c r="J560" i="3"/>
  <c r="M560" i="3"/>
  <c r="N560" i="3" s="1"/>
  <c r="W560" i="3" l="1"/>
  <c r="L560" i="3"/>
  <c r="AA561" i="3"/>
  <c r="P561" i="3"/>
  <c r="Q561" i="3" s="1"/>
  <c r="R561" i="3" s="1"/>
  <c r="S561" i="3" s="1"/>
  <c r="Z561" i="3"/>
  <c r="AC561" i="3"/>
  <c r="U560" i="3" l="1"/>
  <c r="Y559" i="3"/>
  <c r="T561" i="3"/>
  <c r="E561" i="3" l="1"/>
  <c r="H561" i="3" s="1"/>
  <c r="K561" i="3" s="1"/>
  <c r="AE561" i="3" s="1"/>
  <c r="D561" i="3"/>
  <c r="AH561" i="3"/>
  <c r="AG561" i="3"/>
  <c r="F561" i="3" l="1"/>
  <c r="G561" i="3"/>
  <c r="M561" i="3" s="1"/>
  <c r="N561" i="3" s="1"/>
  <c r="V561" i="3"/>
  <c r="A562" i="3"/>
  <c r="B562" i="3" s="1"/>
  <c r="I561" i="3" l="1"/>
  <c r="W561" i="3" s="1"/>
  <c r="J561" i="3"/>
  <c r="Z562" i="3"/>
  <c r="AA562" i="3"/>
  <c r="AD562" i="3"/>
  <c r="P562" i="3"/>
  <c r="Q562" i="3" s="1"/>
  <c r="R562" i="3" s="1"/>
  <c r="S562" i="3" s="1"/>
  <c r="AC562" i="3"/>
  <c r="L561" i="3" l="1"/>
  <c r="Y560" i="3" s="1"/>
  <c r="AD561" i="3"/>
  <c r="T562" i="3"/>
  <c r="AH562" i="3" l="1"/>
  <c r="U561" i="3"/>
  <c r="E562" i="3" s="1"/>
  <c r="H562" i="3" s="1"/>
  <c r="K562" i="3" s="1"/>
  <c r="AE562" i="3" s="1"/>
  <c r="AG562" i="3"/>
  <c r="D562" i="3"/>
  <c r="F562" i="3" l="1"/>
  <c r="G562" i="3"/>
  <c r="J562" i="3" s="1"/>
  <c r="V562" i="3"/>
  <c r="A563" i="3"/>
  <c r="B563" i="3" s="1"/>
  <c r="M562" i="3" l="1"/>
  <c r="N562" i="3" s="1"/>
  <c r="I562" i="3"/>
  <c r="W562" i="3" s="1"/>
  <c r="L562" i="3"/>
  <c r="Z563" i="3"/>
  <c r="P563" i="3"/>
  <c r="Q563" i="3" s="1"/>
  <c r="R563" i="3" s="1"/>
  <c r="S563" i="3" s="1"/>
  <c r="AC563" i="3"/>
  <c r="AA563" i="3"/>
  <c r="AD563" i="3"/>
  <c r="U562" i="3" l="1"/>
  <c r="Y561" i="3"/>
  <c r="T563" i="3"/>
  <c r="AH563" i="3" s="1"/>
  <c r="AG563" i="3" l="1"/>
  <c r="D563" i="3"/>
  <c r="E563" i="3"/>
  <c r="H563" i="3" s="1"/>
  <c r="K563" i="3" s="1"/>
  <c r="AE563" i="3" s="1"/>
  <c r="F563" i="3" l="1"/>
  <c r="G563" i="3"/>
  <c r="M563" i="3" s="1"/>
  <c r="N563" i="3" s="1"/>
  <c r="V563" i="3"/>
  <c r="A564" i="3"/>
  <c r="B564" i="3" s="1"/>
  <c r="I563" i="3" l="1"/>
  <c r="W563" i="3" s="1"/>
  <c r="J563" i="3"/>
  <c r="L563" i="3" s="1"/>
  <c r="Z564" i="3"/>
  <c r="P564" i="3"/>
  <c r="Q564" i="3" s="1"/>
  <c r="R564" i="3" s="1"/>
  <c r="S564" i="3" s="1"/>
  <c r="AC564" i="3"/>
  <c r="AA564" i="3"/>
  <c r="U563" i="3" l="1"/>
  <c r="Y562" i="3"/>
  <c r="T564" i="3"/>
  <c r="AH564" i="3" s="1"/>
  <c r="D564" i="3" l="1"/>
  <c r="E564" i="3"/>
  <c r="H564" i="3" s="1"/>
  <c r="AG564" i="3"/>
  <c r="K564" i="3" l="1"/>
  <c r="AE564" i="3" s="1"/>
  <c r="F564" i="3"/>
  <c r="G564" i="3"/>
  <c r="V564" i="3" l="1"/>
  <c r="A565" i="3"/>
  <c r="B565" i="3" s="1"/>
  <c r="I564" i="3"/>
  <c r="J564" i="3"/>
  <c r="AD564" i="3" s="1"/>
  <c r="M564" i="3"/>
  <c r="N564" i="3" s="1"/>
  <c r="W564" i="3" l="1"/>
  <c r="L564" i="3"/>
  <c r="Z565" i="3"/>
  <c r="AC565" i="3"/>
  <c r="P565" i="3"/>
  <c r="Q565" i="3" s="1"/>
  <c r="R565" i="3" s="1"/>
  <c r="S565" i="3" s="1"/>
  <c r="AA565" i="3"/>
  <c r="AD565" i="3"/>
  <c r="U564" i="3" l="1"/>
  <c r="Y563" i="3"/>
  <c r="T565" i="3"/>
  <c r="E565" i="3" l="1"/>
  <c r="H565" i="3" s="1"/>
  <c r="K565" i="3" s="1"/>
  <c r="AE565" i="3" s="1"/>
  <c r="D565" i="3"/>
  <c r="AG565" i="3"/>
  <c r="AH565" i="3"/>
  <c r="V565" i="3" l="1"/>
  <c r="A566" i="3"/>
  <c r="B566" i="3" s="1"/>
  <c r="F565" i="3"/>
  <c r="G565" i="3"/>
  <c r="I565" i="3" l="1"/>
  <c r="W565" i="3" s="1"/>
  <c r="J565" i="3"/>
  <c r="M565" i="3"/>
  <c r="N565" i="3" s="1"/>
  <c r="AD566" i="3"/>
  <c r="Z566" i="3"/>
  <c r="AA566" i="3"/>
  <c r="P566" i="3"/>
  <c r="Q566" i="3" s="1"/>
  <c r="R566" i="3" s="1"/>
  <c r="S566" i="3" s="1"/>
  <c r="AC566" i="3"/>
  <c r="L565" i="3" l="1"/>
  <c r="T566" i="3"/>
  <c r="AG566" i="3" l="1"/>
  <c r="AH566" i="3"/>
  <c r="U565" i="3"/>
  <c r="D566" i="3" s="1"/>
  <c r="Y564" i="3"/>
  <c r="G566" i="3" l="1"/>
  <c r="E566" i="3"/>
  <c r="H566" i="3" s="1"/>
  <c r="F566" i="3" l="1"/>
  <c r="I566" i="3"/>
  <c r="J566" i="3"/>
  <c r="M566" i="3"/>
  <c r="N566" i="3" s="1"/>
  <c r="K566" i="3"/>
  <c r="AE566" i="3" s="1"/>
  <c r="V566" i="3" l="1"/>
  <c r="W566" i="3" s="1"/>
  <c r="A567" i="3"/>
  <c r="B567" i="3" s="1"/>
  <c r="L566" i="3"/>
  <c r="U566" i="3" l="1"/>
  <c r="Y565" i="3"/>
  <c r="P567" i="3"/>
  <c r="Q567" i="3" s="1"/>
  <c r="R567" i="3" s="1"/>
  <c r="S567" i="3" s="1"/>
  <c r="AA567" i="3"/>
  <c r="Z567" i="3"/>
  <c r="AC567" i="3"/>
  <c r="T567" i="3" l="1"/>
  <c r="AG567" i="3" s="1"/>
  <c r="AH567" i="3" l="1"/>
  <c r="E567" i="3"/>
  <c r="H567" i="3" s="1"/>
  <c r="K567" i="3" s="1"/>
  <c r="AE567" i="3" s="1"/>
  <c r="D567" i="3"/>
  <c r="G567" i="3" s="1"/>
  <c r="F567" i="3" l="1"/>
  <c r="I567" i="3"/>
  <c r="J567" i="3"/>
  <c r="AD567" i="3" s="1"/>
  <c r="M567" i="3"/>
  <c r="N567" i="3" s="1"/>
  <c r="V567" i="3"/>
  <c r="A568" i="3"/>
  <c r="B568" i="3" s="1"/>
  <c r="W567" i="3" l="1"/>
  <c r="L567" i="3"/>
  <c r="AC568" i="3"/>
  <c r="P568" i="3"/>
  <c r="Q568" i="3" s="1"/>
  <c r="R568" i="3" s="1"/>
  <c r="S568" i="3" s="1"/>
  <c r="AA568" i="3"/>
  <c r="Z568" i="3"/>
  <c r="U567" i="3" l="1"/>
  <c r="Y566" i="3"/>
  <c r="T568" i="3"/>
  <c r="AG568" i="3" s="1"/>
  <c r="D568" i="3" l="1"/>
  <c r="G568" i="3" s="1"/>
  <c r="E568" i="3"/>
  <c r="H568" i="3" s="1"/>
  <c r="K568" i="3" s="1"/>
  <c r="AE568" i="3" s="1"/>
  <c r="AH568" i="3"/>
  <c r="F568" i="3" l="1"/>
  <c r="V568" i="3"/>
  <c r="A569" i="3"/>
  <c r="B569" i="3" s="1"/>
  <c r="I568" i="3"/>
  <c r="J568" i="3"/>
  <c r="AD568" i="3" s="1"/>
  <c r="M568" i="3"/>
  <c r="N568" i="3" s="1"/>
  <c r="L568" i="3" l="1"/>
  <c r="W568" i="3"/>
  <c r="AA569" i="3"/>
  <c r="AD569" i="3"/>
  <c r="P569" i="3"/>
  <c r="Q569" i="3" s="1"/>
  <c r="R569" i="3" s="1"/>
  <c r="S569" i="3" s="1"/>
  <c r="AC569" i="3"/>
  <c r="Z569" i="3"/>
  <c r="T569" i="3" l="1"/>
  <c r="AH569" i="3" s="1"/>
  <c r="U568" i="3"/>
  <c r="Y567" i="3"/>
  <c r="D569" i="3" l="1"/>
  <c r="G569" i="3" s="1"/>
  <c r="AG569" i="3"/>
  <c r="E569" i="3"/>
  <c r="H569" i="3" s="1"/>
  <c r="F569" i="3" l="1"/>
  <c r="I569" i="3"/>
  <c r="J569" i="3"/>
  <c r="M569" i="3"/>
  <c r="N569" i="3" s="1"/>
  <c r="K569" i="3"/>
  <c r="AE569" i="3" s="1"/>
  <c r="L569" i="3" l="1"/>
  <c r="V569" i="3"/>
  <c r="W569" i="3" s="1"/>
  <c r="A570" i="3"/>
  <c r="B570" i="3" s="1"/>
  <c r="AC570" i="3" l="1"/>
  <c r="P570" i="3"/>
  <c r="Q570" i="3" s="1"/>
  <c r="R570" i="3" s="1"/>
  <c r="S570" i="3" s="1"/>
  <c r="AD570" i="3"/>
  <c r="Z570" i="3"/>
  <c r="AA570" i="3"/>
  <c r="U569" i="3"/>
  <c r="Y568" i="3"/>
  <c r="T570" i="3" l="1"/>
  <c r="D570" i="3" l="1"/>
  <c r="E570" i="3"/>
  <c r="H570" i="3" s="1"/>
  <c r="AG570" i="3"/>
  <c r="AH570" i="3"/>
  <c r="F570" i="3" l="1"/>
  <c r="G570" i="3"/>
  <c r="K570" i="3"/>
  <c r="AE570" i="3" s="1"/>
  <c r="V570" i="3" l="1"/>
  <c r="A571" i="3"/>
  <c r="B571" i="3" s="1"/>
  <c r="I570" i="3"/>
  <c r="J570" i="3"/>
  <c r="M570" i="3"/>
  <c r="N570" i="3" s="1"/>
  <c r="W570" i="3" l="1"/>
  <c r="L570" i="3"/>
  <c r="P571" i="3"/>
  <c r="Q571" i="3" s="1"/>
  <c r="R571" i="3" s="1"/>
  <c r="S571" i="3" s="1"/>
  <c r="AA571" i="3"/>
  <c r="Z571" i="3"/>
  <c r="AC571" i="3"/>
  <c r="U570" i="3" l="1"/>
  <c r="Y569" i="3"/>
  <c r="T571" i="3"/>
  <c r="D571" i="3" l="1"/>
  <c r="G571" i="3" s="1"/>
  <c r="AG571" i="3"/>
  <c r="AH571" i="3"/>
  <c r="E571" i="3"/>
  <c r="H571" i="3" s="1"/>
  <c r="K571" i="3" s="1"/>
  <c r="AE571" i="3" s="1"/>
  <c r="F571" i="3" l="1"/>
  <c r="V571" i="3"/>
  <c r="A572" i="3"/>
  <c r="B572" i="3" s="1"/>
  <c r="I571" i="3"/>
  <c r="J571" i="3"/>
  <c r="AD571" i="3" s="1"/>
  <c r="M571" i="3"/>
  <c r="N571" i="3" s="1"/>
  <c r="W571" i="3" l="1"/>
  <c r="L571" i="3"/>
  <c r="AC572" i="3"/>
  <c r="AD572" i="3"/>
  <c r="P572" i="3"/>
  <c r="Q572" i="3" s="1"/>
  <c r="R572" i="3" s="1"/>
  <c r="S572" i="3" s="1"/>
  <c r="AA572" i="3"/>
  <c r="Z572" i="3"/>
  <c r="T572" i="3" l="1"/>
  <c r="AH572" i="3" s="1"/>
  <c r="U571" i="3"/>
  <c r="Y570" i="3"/>
  <c r="E572" i="3" l="1"/>
  <c r="H572" i="3" s="1"/>
  <c r="AG572" i="3"/>
  <c r="D572" i="3"/>
  <c r="F572" i="3" l="1"/>
  <c r="G572" i="3"/>
  <c r="K572" i="3"/>
  <c r="AE572" i="3" s="1"/>
  <c r="V572" i="3" l="1"/>
  <c r="A573" i="3"/>
  <c r="B573" i="3" s="1"/>
  <c r="I572" i="3"/>
  <c r="J572" i="3"/>
  <c r="M572" i="3"/>
  <c r="N572" i="3" s="1"/>
  <c r="W572" i="3" l="1"/>
  <c r="L572" i="3"/>
  <c r="P573" i="3"/>
  <c r="Q573" i="3" s="1"/>
  <c r="R573" i="3" s="1"/>
  <c r="S573" i="3" s="1"/>
  <c r="Z573" i="3"/>
  <c r="AC573" i="3"/>
  <c r="AA573" i="3"/>
  <c r="AD573" i="3"/>
  <c r="U572" i="3" l="1"/>
  <c r="Y571" i="3"/>
  <c r="T573" i="3"/>
  <c r="E573" i="3" l="1"/>
  <c r="H573" i="3" s="1"/>
  <c r="K573" i="3" s="1"/>
  <c r="AE573" i="3" s="1"/>
  <c r="D573" i="3"/>
  <c r="AH573" i="3"/>
  <c r="AG573" i="3"/>
  <c r="F573" i="3" l="1"/>
  <c r="G573" i="3"/>
  <c r="I573" i="3" s="1"/>
  <c r="V573" i="3"/>
  <c r="A574" i="3"/>
  <c r="B574" i="3" s="1"/>
  <c r="J573" i="3" l="1"/>
  <c r="L573" i="3" s="1"/>
  <c r="M573" i="3"/>
  <c r="N573" i="3" s="1"/>
  <c r="W573" i="3"/>
  <c r="AA574" i="3"/>
  <c r="Z574" i="3"/>
  <c r="P574" i="3"/>
  <c r="Q574" i="3" s="1"/>
  <c r="R574" i="3" s="1"/>
  <c r="S574" i="3" s="1"/>
  <c r="AC574" i="3"/>
  <c r="U573" i="3" l="1"/>
  <c r="Y572" i="3"/>
  <c r="T574" i="3"/>
  <c r="AH574" i="3" s="1"/>
  <c r="D574" i="3" l="1"/>
  <c r="G574" i="3" s="1"/>
  <c r="AG574" i="3"/>
  <c r="E574" i="3"/>
  <c r="H574" i="3" s="1"/>
  <c r="K574" i="3" l="1"/>
  <c r="AE574" i="3" s="1"/>
  <c r="I574" i="3"/>
  <c r="J574" i="3"/>
  <c r="AD574" i="3" s="1"/>
  <c r="M574" i="3"/>
  <c r="N574" i="3" s="1"/>
  <c r="F574" i="3"/>
  <c r="V574" i="3" l="1"/>
  <c r="W574" i="3" s="1"/>
  <c r="A575" i="3"/>
  <c r="B575" i="3" s="1"/>
  <c r="L574" i="3"/>
  <c r="U574" i="3" l="1"/>
  <c r="Y573" i="3"/>
  <c r="P575" i="3"/>
  <c r="Q575" i="3" s="1"/>
  <c r="R575" i="3" s="1"/>
  <c r="S575" i="3" s="1"/>
  <c r="Z575" i="3"/>
  <c r="AC575" i="3"/>
  <c r="AA575" i="3"/>
  <c r="AD575" i="3"/>
  <c r="T575" i="3" l="1"/>
  <c r="AH575" i="3" s="1"/>
  <c r="AG575" i="3" l="1"/>
  <c r="E575" i="3"/>
  <c r="H575" i="3" s="1"/>
  <c r="D575" i="3"/>
  <c r="K575" i="3" l="1"/>
  <c r="AE575" i="3" s="1"/>
  <c r="F575" i="3"/>
  <c r="G575" i="3"/>
  <c r="V575" i="3" l="1"/>
  <c r="A576" i="3"/>
  <c r="B576" i="3" s="1"/>
  <c r="I575" i="3"/>
  <c r="J575" i="3"/>
  <c r="M575" i="3"/>
  <c r="N575" i="3" s="1"/>
  <c r="W575" i="3" l="1"/>
  <c r="L575" i="3"/>
  <c r="AA576" i="3"/>
  <c r="P576" i="3"/>
  <c r="Q576" i="3" s="1"/>
  <c r="R576" i="3" s="1"/>
  <c r="S576" i="3" s="1"/>
  <c r="AD576" i="3"/>
  <c r="Z576" i="3"/>
  <c r="AC576" i="3"/>
  <c r="U575" i="3" l="1"/>
  <c r="Y574" i="3"/>
  <c r="T576" i="3"/>
  <c r="E576" i="3" l="1"/>
  <c r="H576" i="3" s="1"/>
  <c r="K576" i="3" s="1"/>
  <c r="AE576" i="3" s="1"/>
  <c r="AH576" i="3"/>
  <c r="D576" i="3"/>
  <c r="G576" i="3" s="1"/>
  <c r="AG576" i="3"/>
  <c r="F576" i="3" l="1"/>
  <c r="V576" i="3"/>
  <c r="A577" i="3"/>
  <c r="B577" i="3" s="1"/>
  <c r="I576" i="3"/>
  <c r="J576" i="3"/>
  <c r="M576" i="3"/>
  <c r="N576" i="3" s="1"/>
  <c r="W576" i="3" l="1"/>
  <c r="L576" i="3"/>
  <c r="P577" i="3"/>
  <c r="Q577" i="3" s="1"/>
  <c r="R577" i="3" s="1"/>
  <c r="S577" i="3" s="1"/>
  <c r="AC577" i="3"/>
  <c r="AA577" i="3"/>
  <c r="Z577" i="3"/>
  <c r="U576" i="3" l="1"/>
  <c r="Y575" i="3"/>
  <c r="T577" i="3"/>
  <c r="AH577" i="3" s="1"/>
  <c r="E577" i="3" l="1"/>
  <c r="H577" i="3" s="1"/>
  <c r="K577" i="3" s="1"/>
  <c r="AE577" i="3" s="1"/>
  <c r="AG577" i="3"/>
  <c r="D577" i="3"/>
  <c r="F577" i="3" l="1"/>
  <c r="G577" i="3"/>
  <c r="J577" i="3" s="1"/>
  <c r="AD577" i="3" s="1"/>
  <c r="V577" i="3"/>
  <c r="A578" i="3"/>
  <c r="B578" i="3" s="1"/>
  <c r="M577" i="3" l="1"/>
  <c r="N577" i="3" s="1"/>
  <c r="I577" i="3"/>
  <c r="W577" i="3" s="1"/>
  <c r="L577" i="3"/>
  <c r="AC578" i="3"/>
  <c r="P578" i="3"/>
  <c r="Q578" i="3" s="1"/>
  <c r="R578" i="3" s="1"/>
  <c r="S578" i="3" s="1"/>
  <c r="Z578" i="3"/>
  <c r="AA578" i="3"/>
  <c r="U577" i="3" l="1"/>
  <c r="Y576" i="3"/>
  <c r="T578" i="3"/>
  <c r="AG578" i="3" s="1"/>
  <c r="D578" i="3" l="1"/>
  <c r="G578" i="3" s="1"/>
  <c r="AH578" i="3"/>
  <c r="E578" i="3"/>
  <c r="H578" i="3" s="1"/>
  <c r="K578" i="3" s="1"/>
  <c r="AE578" i="3" s="1"/>
  <c r="F578" i="3" l="1"/>
  <c r="I578" i="3"/>
  <c r="J578" i="3"/>
  <c r="AD578" i="3" s="1"/>
  <c r="M578" i="3"/>
  <c r="N578" i="3" s="1"/>
  <c r="V578" i="3"/>
  <c r="A579" i="3"/>
  <c r="B579" i="3" s="1"/>
  <c r="W578" i="3" l="1"/>
  <c r="L578" i="3"/>
  <c r="AC579" i="3"/>
  <c r="Z579" i="3"/>
  <c r="P579" i="3"/>
  <c r="Q579" i="3" s="1"/>
  <c r="R579" i="3" s="1"/>
  <c r="S579" i="3" s="1"/>
  <c r="AD579" i="3"/>
  <c r="AA579" i="3"/>
  <c r="U578" i="3" l="1"/>
  <c r="Y577" i="3"/>
  <c r="T579" i="3"/>
  <c r="AG579" i="3" s="1"/>
  <c r="E579" i="3" l="1"/>
  <c r="H579" i="3" s="1"/>
  <c r="K579" i="3" s="1"/>
  <c r="AE579" i="3" s="1"/>
  <c r="AH579" i="3"/>
  <c r="D579" i="3"/>
  <c r="F579" i="3" l="1"/>
  <c r="G579" i="3"/>
  <c r="M579" i="3" s="1"/>
  <c r="N579" i="3" s="1"/>
  <c r="V579" i="3"/>
  <c r="A580" i="3"/>
  <c r="B580" i="3" s="1"/>
  <c r="I579" i="3" l="1"/>
  <c r="W579" i="3" s="1"/>
  <c r="J579" i="3"/>
  <c r="L579" i="3" s="1"/>
  <c r="AD580" i="3"/>
  <c r="P580" i="3"/>
  <c r="Q580" i="3" s="1"/>
  <c r="R580" i="3" s="1"/>
  <c r="S580" i="3" s="1"/>
  <c r="AA580" i="3"/>
  <c r="AC580" i="3"/>
  <c r="Z580" i="3"/>
  <c r="U579" i="3" l="1"/>
  <c r="Y578" i="3"/>
  <c r="T580" i="3"/>
  <c r="AH580" i="3" s="1"/>
  <c r="E580" i="3" l="1"/>
  <c r="H580" i="3" s="1"/>
  <c r="D580" i="3"/>
  <c r="AG580" i="3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P581" i="3"/>
  <c r="Q581" i="3" s="1"/>
  <c r="R581" i="3" s="1"/>
  <c r="S581" i="3" s="1"/>
  <c r="Z581" i="3"/>
  <c r="AA581" i="3"/>
  <c r="AC581" i="3"/>
  <c r="L580" i="3"/>
  <c r="T581" i="3" l="1"/>
  <c r="AH581" i="3" s="1"/>
  <c r="U580" i="3"/>
  <c r="Y579" i="3"/>
  <c r="D581" i="3" l="1"/>
  <c r="G581" i="3" s="1"/>
  <c r="AG581" i="3"/>
  <c r="E581" i="3"/>
  <c r="H581" i="3" s="1"/>
  <c r="I581" i="3" l="1"/>
  <c r="J581" i="3"/>
  <c r="AD581" i="3" s="1"/>
  <c r="M581" i="3"/>
  <c r="N581" i="3" s="1"/>
  <c r="F581" i="3"/>
  <c r="K581" i="3"/>
  <c r="AE581" i="3" s="1"/>
  <c r="L581" i="3" l="1"/>
  <c r="V581" i="3"/>
  <c r="W581" i="3" s="1"/>
  <c r="A582" i="3"/>
  <c r="B582" i="3" s="1"/>
  <c r="P582" i="3" l="1"/>
  <c r="Q582" i="3" s="1"/>
  <c r="R582" i="3" s="1"/>
  <c r="S582" i="3" s="1"/>
  <c r="Z582" i="3"/>
  <c r="AD582" i="3"/>
  <c r="AC582" i="3"/>
  <c r="AA582" i="3"/>
  <c r="U581" i="3"/>
  <c r="Y580" i="3"/>
  <c r="T582" i="3" l="1"/>
  <c r="AH582" i="3" s="1"/>
  <c r="E582" i="3" l="1"/>
  <c r="H582" i="3" s="1"/>
  <c r="K582" i="3" s="1"/>
  <c r="AE582" i="3" s="1"/>
  <c r="AG582" i="3"/>
  <c r="D582" i="3"/>
  <c r="V582" i="3" l="1"/>
  <c r="A583" i="3"/>
  <c r="B583" i="3" s="1"/>
  <c r="F582" i="3"/>
  <c r="G582" i="3"/>
  <c r="I582" i="3" l="1"/>
  <c r="W582" i="3" s="1"/>
  <c r="J582" i="3"/>
  <c r="M582" i="3"/>
  <c r="N582" i="3" s="1"/>
  <c r="AD583" i="3"/>
  <c r="AA583" i="3"/>
  <c r="Z583" i="3"/>
  <c r="P583" i="3"/>
  <c r="Q583" i="3" s="1"/>
  <c r="R583" i="3" s="1"/>
  <c r="S583" i="3" s="1"/>
  <c r="AC583" i="3"/>
  <c r="T583" i="3" l="1"/>
  <c r="L582" i="3"/>
  <c r="U582" i="3" l="1"/>
  <c r="E583" i="3" s="1"/>
  <c r="H583" i="3" s="1"/>
  <c r="AG583" i="3"/>
  <c r="AH583" i="3"/>
  <c r="Y581" i="3"/>
  <c r="D583" i="3" l="1"/>
  <c r="G583" i="3" s="1"/>
  <c r="K583" i="3"/>
  <c r="AE583" i="3" s="1"/>
  <c r="F583" i="3" l="1"/>
  <c r="V583" i="3"/>
  <c r="A584" i="3"/>
  <c r="B584" i="3" s="1"/>
  <c r="I583" i="3"/>
  <c r="J583" i="3"/>
  <c r="M583" i="3"/>
  <c r="N583" i="3" s="1"/>
  <c r="W583" i="3" l="1"/>
  <c r="L583" i="3"/>
  <c r="AC584" i="3"/>
  <c r="P584" i="3"/>
  <c r="Q584" i="3" s="1"/>
  <c r="R584" i="3" s="1"/>
  <c r="S584" i="3" s="1"/>
  <c r="AA584" i="3"/>
  <c r="Z584" i="3"/>
  <c r="U583" i="3" l="1"/>
  <c r="Y582" i="3"/>
  <c r="T584" i="3"/>
  <c r="AG584" i="3" s="1"/>
  <c r="E584" i="3" l="1"/>
  <c r="H584" i="3" s="1"/>
  <c r="K584" i="3" s="1"/>
  <c r="AE584" i="3" s="1"/>
  <c r="AH584" i="3"/>
  <c r="D584" i="3"/>
  <c r="V584" i="3" l="1"/>
  <c r="A585" i="3"/>
  <c r="B585" i="3" s="1"/>
  <c r="F584" i="3"/>
  <c r="G584" i="3"/>
  <c r="Z585" i="3" l="1"/>
  <c r="AA585" i="3"/>
  <c r="P585" i="3"/>
  <c r="Q585" i="3" s="1"/>
  <c r="R585" i="3" s="1"/>
  <c r="S585" i="3" s="1"/>
  <c r="AD585" i="3"/>
  <c r="AC585" i="3"/>
  <c r="I584" i="3"/>
  <c r="W584" i="3" s="1"/>
  <c r="J584" i="3"/>
  <c r="AD584" i="3" s="1"/>
  <c r="M584" i="3"/>
  <c r="N584" i="3" s="1"/>
  <c r="T585" i="3" l="1"/>
  <c r="L584" i="3"/>
  <c r="AG585" i="3" l="1"/>
  <c r="U584" i="3"/>
  <c r="D585" i="3" s="1"/>
  <c r="AH585" i="3"/>
  <c r="Y583" i="3"/>
  <c r="G585" i="3" l="1"/>
  <c r="E585" i="3"/>
  <c r="H585" i="3" s="1"/>
  <c r="F585" i="3" l="1"/>
  <c r="I585" i="3"/>
  <c r="J585" i="3"/>
  <c r="M585" i="3"/>
  <c r="N585" i="3" s="1"/>
  <c r="K585" i="3"/>
  <c r="AE585" i="3" s="1"/>
  <c r="V585" i="3" l="1"/>
  <c r="W585" i="3" s="1"/>
  <c r="A586" i="3"/>
  <c r="B586" i="3" s="1"/>
  <c r="L585" i="3"/>
  <c r="U585" i="3" l="1"/>
  <c r="Y584" i="3"/>
  <c r="P586" i="3"/>
  <c r="Q586" i="3" s="1"/>
  <c r="R586" i="3" s="1"/>
  <c r="S586" i="3" s="1"/>
  <c r="AA586" i="3"/>
  <c r="Z586" i="3"/>
  <c r="AD586" i="3"/>
  <c r="AC586" i="3"/>
  <c r="T586" i="3" l="1"/>
  <c r="E586" i="3" s="1"/>
  <c r="H586" i="3" s="1"/>
  <c r="AH586" i="3" l="1"/>
  <c r="K586" i="3"/>
  <c r="AE586" i="3" s="1"/>
  <c r="AG586" i="3"/>
  <c r="D586" i="3"/>
  <c r="F586" i="3" l="1"/>
  <c r="G586" i="3"/>
  <c r="V586" i="3"/>
  <c r="A587" i="3"/>
  <c r="B587" i="3" s="1"/>
  <c r="AA587" i="3" l="1"/>
  <c r="Z587" i="3"/>
  <c r="AC587" i="3"/>
  <c r="P587" i="3"/>
  <c r="Q587" i="3" s="1"/>
  <c r="R587" i="3" s="1"/>
  <c r="S587" i="3" s="1"/>
  <c r="I586" i="3"/>
  <c r="W586" i="3" s="1"/>
  <c r="J586" i="3"/>
  <c r="M586" i="3"/>
  <c r="N586" i="3" s="1"/>
  <c r="T587" i="3" l="1"/>
  <c r="L586" i="3"/>
  <c r="AH587" i="3" l="1"/>
  <c r="U586" i="3"/>
  <c r="D587" i="3" s="1"/>
  <c r="AG587" i="3"/>
  <c r="Y585" i="3"/>
  <c r="G587" i="3" l="1"/>
  <c r="E587" i="3"/>
  <c r="H587" i="3" s="1"/>
  <c r="F587" i="3" l="1"/>
  <c r="K587" i="3"/>
  <c r="AE587" i="3" s="1"/>
  <c r="I587" i="3"/>
  <c r="J587" i="3"/>
  <c r="AD587" i="3" s="1"/>
  <c r="M587" i="3"/>
  <c r="N587" i="3" s="1"/>
  <c r="L587" i="3" l="1"/>
  <c r="V587" i="3"/>
  <c r="W587" i="3" s="1"/>
  <c r="A588" i="3"/>
  <c r="B588" i="3" s="1"/>
  <c r="U587" i="3" l="1"/>
  <c r="Y586" i="3"/>
  <c r="P588" i="3"/>
  <c r="Q588" i="3" s="1"/>
  <c r="R588" i="3" s="1"/>
  <c r="S588" i="3" s="1"/>
  <c r="Z588" i="3"/>
  <c r="AC588" i="3"/>
  <c r="AA588" i="3"/>
  <c r="T588" i="3" l="1"/>
  <c r="AH588" i="3" s="1"/>
  <c r="E588" i="3" l="1"/>
  <c r="H588" i="3" s="1"/>
  <c r="K588" i="3" s="1"/>
  <c r="AE588" i="3" s="1"/>
  <c r="AG588" i="3"/>
  <c r="D588" i="3"/>
  <c r="G588" i="3" s="1"/>
  <c r="F588" i="3" l="1"/>
  <c r="I588" i="3"/>
  <c r="J588" i="3"/>
  <c r="AD588" i="3" s="1"/>
  <c r="M588" i="3"/>
  <c r="N588" i="3" s="1"/>
  <c r="V588" i="3"/>
  <c r="A589" i="3"/>
  <c r="B589" i="3" s="1"/>
  <c r="W588" i="3" l="1"/>
  <c r="L588" i="3"/>
  <c r="AA589" i="3"/>
  <c r="Z589" i="3"/>
  <c r="AC589" i="3"/>
  <c r="P589" i="3"/>
  <c r="Q589" i="3" s="1"/>
  <c r="R589" i="3" s="1"/>
  <c r="S589" i="3" s="1"/>
  <c r="AD589" i="3"/>
  <c r="T589" i="3" l="1"/>
  <c r="AG589" i="3" s="1"/>
  <c r="U588" i="3"/>
  <c r="Y587" i="3"/>
  <c r="AH589" i="3" l="1"/>
  <c r="D589" i="3"/>
  <c r="E589" i="3"/>
  <c r="H589" i="3" s="1"/>
  <c r="F589" i="3" l="1"/>
  <c r="G589" i="3"/>
  <c r="K589" i="3"/>
  <c r="AE589" i="3" s="1"/>
  <c r="I589" i="3" l="1"/>
  <c r="J589" i="3"/>
  <c r="M589" i="3"/>
  <c r="N589" i="3" s="1"/>
  <c r="V589" i="3"/>
  <c r="A590" i="3"/>
  <c r="B590" i="3" s="1"/>
  <c r="W589" i="3" l="1"/>
  <c r="L589" i="3"/>
  <c r="P590" i="3"/>
  <c r="Q590" i="3" s="1"/>
  <c r="R590" i="3" s="1"/>
  <c r="S590" i="3" s="1"/>
  <c r="AC590" i="3"/>
  <c r="AA590" i="3"/>
  <c r="Z590" i="3"/>
  <c r="AD590" i="3"/>
  <c r="U589" i="3" l="1"/>
  <c r="Y588" i="3"/>
  <c r="T590" i="3"/>
  <c r="AH590" i="3" s="1"/>
  <c r="D590" i="3" l="1"/>
  <c r="G590" i="3" s="1"/>
  <c r="E590" i="3"/>
  <c r="H590" i="3" s="1"/>
  <c r="K590" i="3" s="1"/>
  <c r="AE590" i="3" s="1"/>
  <c r="AG590" i="3"/>
  <c r="F590" i="3" l="1"/>
  <c r="V590" i="3"/>
  <c r="A591" i="3"/>
  <c r="B591" i="3" s="1"/>
  <c r="I590" i="3"/>
  <c r="J590" i="3"/>
  <c r="M590" i="3"/>
  <c r="N590" i="3" s="1"/>
  <c r="W590" i="3" l="1"/>
  <c r="L590" i="3"/>
  <c r="AC591" i="3"/>
  <c r="P591" i="3"/>
  <c r="Q591" i="3" s="1"/>
  <c r="R591" i="3" s="1"/>
  <c r="S591" i="3" s="1"/>
  <c r="Z591" i="3"/>
  <c r="AA591" i="3"/>
  <c r="U590" i="3" l="1"/>
  <c r="Y589" i="3"/>
  <c r="T591" i="3"/>
  <c r="AG591" i="3" s="1"/>
  <c r="D591" i="3" l="1"/>
  <c r="G591" i="3" s="1"/>
  <c r="E591" i="3"/>
  <c r="H591" i="3" s="1"/>
  <c r="K591" i="3" s="1"/>
  <c r="AE591" i="3" s="1"/>
  <c r="AH591" i="3"/>
  <c r="F591" i="3" l="1"/>
  <c r="I591" i="3"/>
  <c r="J591" i="3"/>
  <c r="AD591" i="3" s="1"/>
  <c r="M591" i="3"/>
  <c r="N591" i="3" s="1"/>
  <c r="V591" i="3"/>
  <c r="A592" i="3"/>
  <c r="B592" i="3" s="1"/>
  <c r="W591" i="3" l="1"/>
  <c r="L591" i="3"/>
  <c r="AA592" i="3"/>
  <c r="AC592" i="3"/>
  <c r="Z592" i="3"/>
  <c r="AD592" i="3"/>
  <c r="P592" i="3"/>
  <c r="Q592" i="3" s="1"/>
  <c r="R592" i="3" s="1"/>
  <c r="S592" i="3" s="1"/>
  <c r="U591" i="3" l="1"/>
  <c r="Y590" i="3"/>
  <c r="T592" i="3"/>
  <c r="D592" i="3" l="1"/>
  <c r="G592" i="3" s="1"/>
  <c r="AH592" i="3"/>
  <c r="AG592" i="3"/>
  <c r="E592" i="3"/>
  <c r="H592" i="3" s="1"/>
  <c r="K592" i="3" s="1"/>
  <c r="AE592" i="3" s="1"/>
  <c r="F592" i="3" l="1"/>
  <c r="I592" i="3"/>
  <c r="J592" i="3"/>
  <c r="M592" i="3"/>
  <c r="N592" i="3" s="1"/>
  <c r="V592" i="3"/>
  <c r="A593" i="3"/>
  <c r="B593" i="3" s="1"/>
  <c r="W592" i="3" l="1"/>
  <c r="L592" i="3"/>
  <c r="Z593" i="3"/>
  <c r="P593" i="3"/>
  <c r="Q593" i="3" s="1"/>
  <c r="R593" i="3" s="1"/>
  <c r="S593" i="3" s="1"/>
  <c r="AD593" i="3"/>
  <c r="AA593" i="3"/>
  <c r="AC593" i="3"/>
  <c r="U592" i="3" l="1"/>
  <c r="Y591" i="3"/>
  <c r="T593" i="3"/>
  <c r="E593" i="3" l="1"/>
  <c r="H593" i="3" s="1"/>
  <c r="K593" i="3" s="1"/>
  <c r="AE593" i="3" s="1"/>
  <c r="D593" i="3"/>
  <c r="G593" i="3" s="1"/>
  <c r="AH593" i="3"/>
  <c r="AG593" i="3"/>
  <c r="F593" i="3" l="1"/>
  <c r="I593" i="3"/>
  <c r="J593" i="3"/>
  <c r="M593" i="3"/>
  <c r="N593" i="3" s="1"/>
  <c r="V593" i="3"/>
  <c r="A594" i="3"/>
  <c r="B594" i="3" s="1"/>
  <c r="W593" i="3" l="1"/>
  <c r="L593" i="3"/>
  <c r="Z594" i="3"/>
  <c r="AA594" i="3"/>
  <c r="P594" i="3"/>
  <c r="Q594" i="3" s="1"/>
  <c r="R594" i="3" s="1"/>
  <c r="S594" i="3" s="1"/>
  <c r="AC594" i="3"/>
  <c r="U593" i="3" l="1"/>
  <c r="Y592" i="3"/>
  <c r="T594" i="3"/>
  <c r="AG594" i="3" s="1"/>
  <c r="AH594" i="3" l="1"/>
  <c r="E594" i="3"/>
  <c r="H594" i="3" s="1"/>
  <c r="K594" i="3" s="1"/>
  <c r="AE594" i="3" s="1"/>
  <c r="D594" i="3"/>
  <c r="V594" i="3" l="1"/>
  <c r="A595" i="3"/>
  <c r="B595" i="3" s="1"/>
  <c r="F594" i="3"/>
  <c r="G594" i="3"/>
  <c r="I594" i="3" l="1"/>
  <c r="W594" i="3" s="1"/>
  <c r="J594" i="3"/>
  <c r="AD594" i="3" s="1"/>
  <c r="M594" i="3"/>
  <c r="N594" i="3" s="1"/>
  <c r="AC595" i="3"/>
  <c r="AA595" i="3"/>
  <c r="P595" i="3"/>
  <c r="Q595" i="3" s="1"/>
  <c r="R595" i="3" s="1"/>
  <c r="S595" i="3" s="1"/>
  <c r="Z595" i="3"/>
  <c r="AD595" i="3"/>
  <c r="T595" i="3" l="1"/>
  <c r="L594" i="3"/>
  <c r="AH595" i="3" l="1"/>
  <c r="U594" i="3"/>
  <c r="E595" i="3" s="1"/>
  <c r="H595" i="3" s="1"/>
  <c r="AG595" i="3"/>
  <c r="Y593" i="3"/>
  <c r="D595" i="3" l="1"/>
  <c r="G595" i="3" s="1"/>
  <c r="K595" i="3"/>
  <c r="AE595" i="3" s="1"/>
  <c r="F595" i="3" l="1"/>
  <c r="V595" i="3"/>
  <c r="A596" i="3"/>
  <c r="B596" i="3" s="1"/>
  <c r="I595" i="3"/>
  <c r="J595" i="3"/>
  <c r="M595" i="3"/>
  <c r="N595" i="3" s="1"/>
  <c r="W595" i="3" l="1"/>
  <c r="L595" i="3"/>
  <c r="P596" i="3"/>
  <c r="Q596" i="3" s="1"/>
  <c r="R596" i="3" s="1"/>
  <c r="S596" i="3" s="1"/>
  <c r="AA596" i="3"/>
  <c r="AC596" i="3"/>
  <c r="AD596" i="3"/>
  <c r="Z596" i="3"/>
  <c r="T596" i="3" l="1"/>
  <c r="AG596" i="3" s="1"/>
  <c r="U595" i="3"/>
  <c r="Y594" i="3"/>
  <c r="D596" i="3" l="1"/>
  <c r="E596" i="3"/>
  <c r="H596" i="3" s="1"/>
  <c r="AH596" i="3"/>
  <c r="F596" i="3" l="1"/>
  <c r="G596" i="3"/>
  <c r="K596" i="3"/>
  <c r="AE596" i="3" s="1"/>
  <c r="V596" i="3" l="1"/>
  <c r="A597" i="3"/>
  <c r="B597" i="3" s="1"/>
  <c r="I596" i="3"/>
  <c r="J596" i="3"/>
  <c r="M596" i="3"/>
  <c r="N596" i="3" s="1"/>
  <c r="W596" i="3" l="1"/>
  <c r="L596" i="3"/>
  <c r="Z597" i="3"/>
  <c r="P597" i="3"/>
  <c r="Q597" i="3" s="1"/>
  <c r="R597" i="3" s="1"/>
  <c r="S597" i="3" s="1"/>
  <c r="AA597" i="3"/>
  <c r="AC597" i="3"/>
  <c r="U596" i="3" l="1"/>
  <c r="Y595" i="3"/>
  <c r="T597" i="3"/>
  <c r="E597" i="3" l="1"/>
  <c r="H597" i="3" s="1"/>
  <c r="K597" i="3" s="1"/>
  <c r="AE597" i="3" s="1"/>
  <c r="AH597" i="3"/>
  <c r="AG597" i="3"/>
  <c r="D597" i="3"/>
  <c r="G597" i="3" s="1"/>
  <c r="F597" i="3" l="1"/>
  <c r="I597" i="3"/>
  <c r="J597" i="3"/>
  <c r="AD597" i="3" s="1"/>
  <c r="M597" i="3"/>
  <c r="N597" i="3" s="1"/>
  <c r="V597" i="3"/>
  <c r="A598" i="3"/>
  <c r="B598" i="3" s="1"/>
  <c r="W597" i="3" l="1"/>
  <c r="L597" i="3"/>
  <c r="AC598" i="3"/>
  <c r="P598" i="3"/>
  <c r="Q598" i="3" s="1"/>
  <c r="R598" i="3" s="1"/>
  <c r="S598" i="3" s="1"/>
  <c r="Z598" i="3"/>
  <c r="AA598" i="3"/>
  <c r="U597" i="3" l="1"/>
  <c r="Y596" i="3"/>
  <c r="T598" i="3"/>
  <c r="AG598" i="3" s="1"/>
  <c r="AH598" i="3" l="1"/>
  <c r="E598" i="3"/>
  <c r="H598" i="3" s="1"/>
  <c r="K598" i="3" s="1"/>
  <c r="AE598" i="3" s="1"/>
  <c r="D598" i="3"/>
  <c r="V598" i="3" l="1"/>
  <c r="A599" i="3"/>
  <c r="B599" i="3" s="1"/>
  <c r="F598" i="3"/>
  <c r="G598" i="3"/>
  <c r="I598" i="3" l="1"/>
  <c r="W598" i="3" s="1"/>
  <c r="J598" i="3"/>
  <c r="AD598" i="3" s="1"/>
  <c r="M598" i="3"/>
  <c r="N598" i="3" s="1"/>
  <c r="AC599" i="3"/>
  <c r="AA599" i="3"/>
  <c r="P599" i="3"/>
  <c r="Q599" i="3" s="1"/>
  <c r="R599" i="3" s="1"/>
  <c r="S599" i="3" s="1"/>
  <c r="AD599" i="3"/>
  <c r="Z599" i="3"/>
  <c r="T599" i="3" l="1"/>
  <c r="L598" i="3"/>
  <c r="U598" i="3" l="1"/>
  <c r="D599" i="3" s="1"/>
  <c r="AG599" i="3"/>
  <c r="AH599" i="3"/>
  <c r="Y597" i="3"/>
  <c r="G599" i="3" l="1"/>
  <c r="E599" i="3"/>
  <c r="H599" i="3" s="1"/>
  <c r="I599" i="3" l="1"/>
  <c r="J599" i="3"/>
  <c r="M599" i="3"/>
  <c r="N599" i="3" s="1"/>
  <c r="K599" i="3"/>
  <c r="AE599" i="3" s="1"/>
  <c r="F599" i="3"/>
  <c r="V599" i="3" l="1"/>
  <c r="W599" i="3" s="1"/>
  <c r="A600" i="3"/>
  <c r="B600" i="3" s="1"/>
  <c r="L599" i="3"/>
  <c r="U599" i="3" l="1"/>
  <c r="Y598" i="3"/>
  <c r="AC600" i="3"/>
  <c r="P600" i="3"/>
  <c r="Q600" i="3" s="1"/>
  <c r="R600" i="3" s="1"/>
  <c r="S600" i="3" s="1"/>
  <c r="Z600" i="3"/>
  <c r="AA600" i="3"/>
  <c r="AD600" i="3"/>
  <c r="T600" i="3" l="1"/>
  <c r="E600" i="3" s="1"/>
  <c r="H600" i="3" s="1"/>
  <c r="AH600" i="3" l="1"/>
  <c r="K600" i="3"/>
  <c r="AE600" i="3" s="1"/>
  <c r="AG600" i="3"/>
  <c r="D600" i="3"/>
  <c r="V600" i="3" l="1"/>
  <c r="A601" i="3"/>
  <c r="B601" i="3" s="1"/>
  <c r="F600" i="3"/>
  <c r="G600" i="3"/>
  <c r="I600" i="3" l="1"/>
  <c r="W600" i="3" s="1"/>
  <c r="J600" i="3"/>
  <c r="M600" i="3"/>
  <c r="N600" i="3" s="1"/>
  <c r="P601" i="3"/>
  <c r="Q601" i="3" s="1"/>
  <c r="R601" i="3" s="1"/>
  <c r="S601" i="3" s="1"/>
  <c r="AA601" i="3"/>
  <c r="AC601" i="3"/>
  <c r="Z601" i="3"/>
  <c r="T601" i="3" l="1"/>
  <c r="L600" i="3"/>
  <c r="AH601" i="3" l="1"/>
  <c r="U600" i="3"/>
  <c r="D601" i="3" s="1"/>
  <c r="AG601" i="3"/>
  <c r="Y599" i="3"/>
  <c r="E601" i="3" l="1"/>
  <c r="H601" i="3" s="1"/>
  <c r="K601" i="3" s="1"/>
  <c r="AE601" i="3" s="1"/>
  <c r="G601" i="3"/>
  <c r="F601" i="3" l="1"/>
  <c r="I601" i="3"/>
  <c r="J601" i="3"/>
  <c r="AD601" i="3" s="1"/>
  <c r="M601" i="3"/>
  <c r="N601" i="3" s="1"/>
  <c r="V601" i="3"/>
  <c r="A602" i="3"/>
  <c r="B602" i="3" s="1"/>
  <c r="W601" i="3" l="1"/>
  <c r="L601" i="3"/>
  <c r="P602" i="3"/>
  <c r="Q602" i="3" s="1"/>
  <c r="R602" i="3" s="1"/>
  <c r="S602" i="3" s="1"/>
  <c r="Z602" i="3"/>
  <c r="AC602" i="3"/>
  <c r="AD602" i="3"/>
  <c r="AA602" i="3"/>
  <c r="U601" i="3" l="1"/>
  <c r="Y600" i="3"/>
  <c r="T602" i="3"/>
  <c r="AG602" i="3" s="1"/>
  <c r="D602" i="3" l="1"/>
  <c r="E602" i="3"/>
  <c r="H602" i="3" s="1"/>
  <c r="AH602" i="3"/>
  <c r="K602" i="3" l="1"/>
  <c r="AE602" i="3" s="1"/>
  <c r="F602" i="3"/>
  <c r="G602" i="3"/>
  <c r="I602" i="3" l="1"/>
  <c r="J602" i="3"/>
  <c r="M602" i="3"/>
  <c r="N602" i="3" s="1"/>
  <c r="V602" i="3"/>
  <c r="A603" i="3"/>
  <c r="B603" i="3" s="1"/>
  <c r="W602" i="3" l="1"/>
  <c r="L602" i="3"/>
  <c r="AA603" i="3"/>
  <c r="AC603" i="3"/>
  <c r="AD603" i="3"/>
  <c r="Z603" i="3"/>
  <c r="P603" i="3"/>
  <c r="Q603" i="3" s="1"/>
  <c r="R603" i="3" s="1"/>
  <c r="S603" i="3" s="1"/>
  <c r="U602" i="3" l="1"/>
  <c r="Y601" i="3"/>
  <c r="T603" i="3"/>
  <c r="AG603" i="3" s="1"/>
  <c r="AH603" i="3" l="1"/>
  <c r="D603" i="3"/>
  <c r="G603" i="3" s="1"/>
  <c r="E603" i="3"/>
  <c r="H603" i="3" s="1"/>
  <c r="K603" i="3" s="1"/>
  <c r="AE603" i="3" s="1"/>
  <c r="F603" i="3" l="1"/>
  <c r="I603" i="3"/>
  <c r="J603" i="3"/>
  <c r="M603" i="3"/>
  <c r="N603" i="3" s="1"/>
  <c r="V603" i="3"/>
  <c r="A604" i="3"/>
  <c r="B604" i="3" s="1"/>
  <c r="W603" i="3" l="1"/>
  <c r="L603" i="3"/>
  <c r="AC604" i="3"/>
  <c r="Z604" i="3"/>
  <c r="AA604" i="3"/>
  <c r="P604" i="3"/>
  <c r="Q604" i="3" s="1"/>
  <c r="R604" i="3" s="1"/>
  <c r="S604" i="3" s="1"/>
  <c r="U603" i="3" l="1"/>
  <c r="Y602" i="3"/>
  <c r="T604" i="3"/>
  <c r="AH604" i="3" s="1"/>
  <c r="D604" i="3" l="1"/>
  <c r="E604" i="3"/>
  <c r="H604" i="3" s="1"/>
  <c r="AG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W604" i="3" l="1"/>
  <c r="L604" i="3"/>
  <c r="P605" i="3"/>
  <c r="Q605" i="3" s="1"/>
  <c r="R605" i="3" s="1"/>
  <c r="S605" i="3" s="1"/>
  <c r="Z605" i="3"/>
  <c r="AA605" i="3"/>
  <c r="AD605" i="3"/>
  <c r="AC605" i="3"/>
  <c r="U604" i="3" l="1"/>
  <c r="Y603" i="3"/>
  <c r="T605" i="3"/>
  <c r="AG605" i="3" s="1"/>
  <c r="AH605" i="3" l="1"/>
  <c r="D605" i="3"/>
  <c r="E605" i="3"/>
  <c r="H605" i="3" s="1"/>
  <c r="K605" i="3" s="1"/>
  <c r="AE605" i="3" s="1"/>
  <c r="F605" i="3" l="1"/>
  <c r="G605" i="3"/>
  <c r="M605" i="3" s="1"/>
  <c r="N605" i="3" s="1"/>
  <c r="V605" i="3"/>
  <c r="A606" i="3"/>
  <c r="B606" i="3" s="1"/>
  <c r="I605" i="3" l="1"/>
  <c r="W605" i="3" s="1"/>
  <c r="J605" i="3"/>
  <c r="L605" i="3" s="1"/>
  <c r="P606" i="3"/>
  <c r="Q606" i="3" s="1"/>
  <c r="R606" i="3" s="1"/>
  <c r="S606" i="3" s="1"/>
  <c r="AC606" i="3"/>
  <c r="AD606" i="3"/>
  <c r="AA606" i="3"/>
  <c r="Z606" i="3"/>
  <c r="U605" i="3" l="1"/>
  <c r="Y604" i="3"/>
  <c r="T606" i="3"/>
  <c r="AG606" i="3" s="1"/>
  <c r="E606" i="3" l="1"/>
  <c r="H606" i="3" s="1"/>
  <c r="AH606" i="3"/>
  <c r="D606" i="3"/>
  <c r="F606" i="3" l="1"/>
  <c r="G606" i="3"/>
  <c r="K606" i="3"/>
  <c r="AE606" i="3" s="1"/>
  <c r="I606" i="3" l="1"/>
  <c r="J606" i="3"/>
  <c r="M606" i="3"/>
  <c r="N606" i="3" s="1"/>
  <c r="V606" i="3"/>
  <c r="A607" i="3"/>
  <c r="B607" i="3" s="1"/>
  <c r="W606" i="3" l="1"/>
  <c r="L606" i="3"/>
  <c r="Z607" i="3"/>
  <c r="AC607" i="3"/>
  <c r="P607" i="3"/>
  <c r="Q607" i="3" s="1"/>
  <c r="R607" i="3" s="1"/>
  <c r="S607" i="3" s="1"/>
  <c r="AA607" i="3"/>
  <c r="U606" i="3" l="1"/>
  <c r="Y605" i="3"/>
  <c r="T607" i="3"/>
  <c r="AH607" i="3" s="1"/>
  <c r="E607" i="3" l="1"/>
  <c r="H607" i="3" s="1"/>
  <c r="K607" i="3" s="1"/>
  <c r="AE607" i="3" s="1"/>
  <c r="D607" i="3"/>
  <c r="AG607" i="3"/>
  <c r="V607" i="3" l="1"/>
  <c r="A608" i="3"/>
  <c r="B608" i="3" s="1"/>
  <c r="F607" i="3"/>
  <c r="G607" i="3"/>
  <c r="I607" i="3" l="1"/>
  <c r="W607" i="3" s="1"/>
  <c r="J607" i="3"/>
  <c r="AD607" i="3" s="1"/>
  <c r="M607" i="3"/>
  <c r="N607" i="3" s="1"/>
  <c r="AA608" i="3"/>
  <c r="P608" i="3"/>
  <c r="Q608" i="3" s="1"/>
  <c r="R608" i="3" s="1"/>
  <c r="S608" i="3" s="1"/>
  <c r="Z608" i="3"/>
  <c r="AC608" i="3"/>
  <c r="T608" i="3" l="1"/>
  <c r="L607" i="3"/>
  <c r="AH608" i="3" l="1"/>
  <c r="AG608" i="3"/>
  <c r="U607" i="3"/>
  <c r="E608" i="3" s="1"/>
  <c r="H608" i="3" s="1"/>
  <c r="Y606" i="3"/>
  <c r="D608" i="3" l="1"/>
  <c r="G608" i="3" s="1"/>
  <c r="K608" i="3"/>
  <c r="AE608" i="3" s="1"/>
  <c r="F608" i="3" l="1"/>
  <c r="I608" i="3"/>
  <c r="J608" i="3"/>
  <c r="AD608" i="3" s="1"/>
  <c r="M608" i="3"/>
  <c r="N608" i="3" s="1"/>
  <c r="V608" i="3"/>
  <c r="A609" i="3"/>
  <c r="B609" i="3" s="1"/>
  <c r="L608" i="3" l="1"/>
  <c r="W608" i="3"/>
  <c r="Z609" i="3"/>
  <c r="P609" i="3"/>
  <c r="Q609" i="3" s="1"/>
  <c r="R609" i="3" s="1"/>
  <c r="S609" i="3" s="1"/>
  <c r="AC609" i="3"/>
  <c r="AA609" i="3"/>
  <c r="AD609" i="3"/>
  <c r="U608" i="3" l="1"/>
  <c r="Y607" i="3"/>
  <c r="T609" i="3"/>
  <c r="AG609" i="3" s="1"/>
  <c r="E609" i="3" l="1"/>
  <c r="H609" i="3" s="1"/>
  <c r="D609" i="3"/>
  <c r="AH609" i="3"/>
  <c r="K609" i="3" l="1"/>
  <c r="AE609" i="3" s="1"/>
  <c r="F609" i="3"/>
  <c r="G609" i="3"/>
  <c r="I609" i="3" l="1"/>
  <c r="J609" i="3"/>
  <c r="M609" i="3"/>
  <c r="N609" i="3" s="1"/>
  <c r="V609" i="3"/>
  <c r="A610" i="3"/>
  <c r="B610" i="3" s="1"/>
  <c r="L609" i="3" l="1"/>
  <c r="W609" i="3"/>
  <c r="AA610" i="3"/>
  <c r="P610" i="3"/>
  <c r="Q610" i="3" s="1"/>
  <c r="R610" i="3" s="1"/>
  <c r="S610" i="3" s="1"/>
  <c r="Z610" i="3"/>
  <c r="AC610" i="3"/>
  <c r="AD610" i="3"/>
  <c r="U609" i="3" l="1"/>
  <c r="Y608" i="3"/>
  <c r="T610" i="3"/>
  <c r="AG610" i="3" s="1"/>
  <c r="AH610" i="3" l="1"/>
  <c r="D610" i="3"/>
  <c r="G610" i="3" s="1"/>
  <c r="E610" i="3"/>
  <c r="H610" i="3" s="1"/>
  <c r="K610" i="3" s="1"/>
  <c r="AE610" i="3" s="1"/>
  <c r="F610" i="3" l="1"/>
  <c r="I610" i="3"/>
  <c r="J610" i="3"/>
  <c r="M610" i="3"/>
  <c r="N610" i="3" s="1"/>
  <c r="V610" i="3"/>
  <c r="A611" i="3"/>
  <c r="B611" i="3" s="1"/>
  <c r="W610" i="3" l="1"/>
  <c r="L610" i="3"/>
  <c r="AA611" i="3"/>
  <c r="P611" i="3"/>
  <c r="Q611" i="3" s="1"/>
  <c r="R611" i="3" s="1"/>
  <c r="S611" i="3" s="1"/>
  <c r="AC611" i="3"/>
  <c r="Z611" i="3"/>
  <c r="T611" i="3" l="1"/>
  <c r="U610" i="3"/>
  <c r="Y609" i="3"/>
  <c r="E611" i="3" l="1"/>
  <c r="H611" i="3" s="1"/>
  <c r="K611" i="3" s="1"/>
  <c r="AE611" i="3" s="1"/>
  <c r="AH611" i="3"/>
  <c r="AG611" i="3"/>
  <c r="D611" i="3"/>
  <c r="V611" i="3" l="1"/>
  <c r="A612" i="3"/>
  <c r="B612" i="3" s="1"/>
  <c r="F611" i="3"/>
  <c r="G611" i="3"/>
  <c r="I611" i="3" l="1"/>
  <c r="W611" i="3" s="1"/>
  <c r="J611" i="3"/>
  <c r="AD611" i="3" s="1"/>
  <c r="M611" i="3"/>
  <c r="N611" i="3" s="1"/>
  <c r="Z612" i="3"/>
  <c r="P612" i="3"/>
  <c r="Q612" i="3" s="1"/>
  <c r="R612" i="3" s="1"/>
  <c r="S612" i="3" s="1"/>
  <c r="AD612" i="3"/>
  <c r="AC612" i="3"/>
  <c r="AA612" i="3"/>
  <c r="T612" i="3" l="1"/>
  <c r="L611" i="3"/>
  <c r="U611" i="3" l="1"/>
  <c r="E612" i="3" s="1"/>
  <c r="H612" i="3" s="1"/>
  <c r="AH612" i="3"/>
  <c r="AG612" i="3"/>
  <c r="Y610" i="3"/>
  <c r="D612" i="3" l="1"/>
  <c r="G612" i="3" s="1"/>
  <c r="K612" i="3"/>
  <c r="AE612" i="3" s="1"/>
  <c r="F612" i="3" l="1"/>
  <c r="V612" i="3"/>
  <c r="A613" i="3"/>
  <c r="B613" i="3" s="1"/>
  <c r="I612" i="3"/>
  <c r="J612" i="3"/>
  <c r="M612" i="3"/>
  <c r="N612" i="3" s="1"/>
  <c r="W612" i="3" l="1"/>
  <c r="L612" i="3"/>
  <c r="P613" i="3"/>
  <c r="Q613" i="3" s="1"/>
  <c r="R613" i="3" s="1"/>
  <c r="S613" i="3" s="1"/>
  <c r="AD613" i="3"/>
  <c r="AA613" i="3"/>
  <c r="Z613" i="3"/>
  <c r="AC613" i="3"/>
  <c r="U612" i="3" l="1"/>
  <c r="Y611" i="3"/>
  <c r="T613" i="3"/>
  <c r="AG613" i="3" s="1"/>
  <c r="D613" i="3" l="1"/>
  <c r="AH613" i="3"/>
  <c r="E613" i="3"/>
  <c r="H613" i="3" s="1"/>
  <c r="F613" i="3" l="1"/>
  <c r="G613" i="3"/>
  <c r="K613" i="3"/>
  <c r="AE613" i="3" s="1"/>
  <c r="V613" i="3" l="1"/>
  <c r="A614" i="3"/>
  <c r="B614" i="3" s="1"/>
  <c r="I613" i="3"/>
  <c r="J613" i="3"/>
  <c r="M613" i="3"/>
  <c r="N613" i="3" s="1"/>
  <c r="W613" i="3" l="1"/>
  <c r="L613" i="3"/>
  <c r="AC614" i="3"/>
  <c r="AA614" i="3"/>
  <c r="Z614" i="3"/>
  <c r="P614" i="3"/>
  <c r="Q614" i="3" s="1"/>
  <c r="R614" i="3" s="1"/>
  <c r="S614" i="3" s="1"/>
  <c r="U613" i="3" l="1"/>
  <c r="Y612" i="3"/>
  <c r="T614" i="3"/>
  <c r="AG614" i="3" s="1"/>
  <c r="D614" i="3" l="1"/>
  <c r="G614" i="3" s="1"/>
  <c r="E614" i="3"/>
  <c r="H614" i="3" s="1"/>
  <c r="K614" i="3" s="1"/>
  <c r="AE614" i="3" s="1"/>
  <c r="AH614" i="3"/>
  <c r="F614" i="3" l="1"/>
  <c r="I614" i="3"/>
  <c r="J614" i="3"/>
  <c r="AD614" i="3" s="1"/>
  <c r="M614" i="3"/>
  <c r="N614" i="3" s="1"/>
  <c r="V614" i="3"/>
  <c r="A615" i="3"/>
  <c r="B615" i="3" s="1"/>
  <c r="L614" i="3" l="1"/>
  <c r="W614" i="3"/>
  <c r="P615" i="3"/>
  <c r="Q615" i="3" s="1"/>
  <c r="R615" i="3" s="1"/>
  <c r="S615" i="3" s="1"/>
  <c r="AC615" i="3"/>
  <c r="Z615" i="3"/>
  <c r="AA615" i="3"/>
  <c r="AD615" i="3"/>
  <c r="U614" i="3" l="1"/>
  <c r="Y613" i="3"/>
  <c r="T615" i="3"/>
  <c r="AH615" i="3" s="1"/>
  <c r="E615" i="3" l="1"/>
  <c r="H615" i="3" s="1"/>
  <c r="K615" i="3" s="1"/>
  <c r="AE615" i="3" s="1"/>
  <c r="AG615" i="3"/>
  <c r="D615" i="3"/>
  <c r="F615" i="3" l="1"/>
  <c r="G615" i="3"/>
  <c r="V615" i="3"/>
  <c r="A616" i="3"/>
  <c r="B616" i="3" s="1"/>
  <c r="AD616" i="3" l="1"/>
  <c r="P616" i="3"/>
  <c r="Q616" i="3" s="1"/>
  <c r="R616" i="3" s="1"/>
  <c r="S616" i="3" s="1"/>
  <c r="Z616" i="3"/>
  <c r="AC616" i="3"/>
  <c r="AA616" i="3"/>
  <c r="I615" i="3"/>
  <c r="W615" i="3" s="1"/>
  <c r="J615" i="3"/>
  <c r="M615" i="3"/>
  <c r="N615" i="3" s="1"/>
  <c r="L615" i="3" l="1"/>
  <c r="T616" i="3"/>
  <c r="U615" i="3" l="1"/>
  <c r="D616" i="3" s="1"/>
  <c r="AH616" i="3"/>
  <c r="AG616" i="3"/>
  <c r="Y614" i="3"/>
  <c r="E616" i="3" l="1"/>
  <c r="H616" i="3" s="1"/>
  <c r="K616" i="3" s="1"/>
  <c r="AE616" i="3" s="1"/>
  <c r="G616" i="3"/>
  <c r="F616" i="3" l="1"/>
  <c r="I616" i="3"/>
  <c r="J616" i="3"/>
  <c r="M616" i="3"/>
  <c r="N616" i="3" s="1"/>
  <c r="V616" i="3"/>
  <c r="A617" i="3"/>
  <c r="B617" i="3" s="1"/>
  <c r="W616" i="3" l="1"/>
  <c r="L616" i="3"/>
  <c r="Z617" i="3"/>
  <c r="AC617" i="3"/>
  <c r="P617" i="3"/>
  <c r="Q617" i="3" s="1"/>
  <c r="R617" i="3" s="1"/>
  <c r="S617" i="3" s="1"/>
  <c r="AA617" i="3"/>
  <c r="U616" i="3" l="1"/>
  <c r="Y615" i="3"/>
  <c r="T617" i="3"/>
  <c r="AG617" i="3" s="1"/>
  <c r="D617" i="3" l="1"/>
  <c r="G617" i="3" s="1"/>
  <c r="E617" i="3"/>
  <c r="H617" i="3" s="1"/>
  <c r="K617" i="3" s="1"/>
  <c r="AE617" i="3" s="1"/>
  <c r="AH617" i="3"/>
  <c r="F617" i="3" l="1"/>
  <c r="I617" i="3"/>
  <c r="J617" i="3"/>
  <c r="AD617" i="3" s="1"/>
  <c r="M617" i="3"/>
  <c r="N617" i="3" s="1"/>
  <c r="V617" i="3"/>
  <c r="A618" i="3"/>
  <c r="B618" i="3" s="1"/>
  <c r="W617" i="3" l="1"/>
  <c r="L617" i="3"/>
  <c r="P618" i="3"/>
  <c r="Q618" i="3" s="1"/>
  <c r="R618" i="3" s="1"/>
  <c r="S618" i="3" s="1"/>
  <c r="Z618" i="3"/>
  <c r="AC618" i="3"/>
  <c r="AA618" i="3"/>
  <c r="U617" i="3" l="1"/>
  <c r="Y616" i="3"/>
  <c r="T618" i="3"/>
  <c r="E618" i="3" l="1"/>
  <c r="H618" i="3" s="1"/>
  <c r="K618" i="3" s="1"/>
  <c r="AE618" i="3" s="1"/>
  <c r="AG618" i="3"/>
  <c r="D618" i="3"/>
  <c r="AH618" i="3"/>
  <c r="F618" i="3" l="1"/>
  <c r="G618" i="3"/>
  <c r="V618" i="3"/>
  <c r="A619" i="3"/>
  <c r="B619" i="3" s="1"/>
  <c r="P619" i="3" l="1"/>
  <c r="Q619" i="3" s="1"/>
  <c r="R619" i="3" s="1"/>
  <c r="S619" i="3" s="1"/>
  <c r="AD619" i="3"/>
  <c r="AA619" i="3"/>
  <c r="AC619" i="3"/>
  <c r="Z619" i="3"/>
  <c r="I618" i="3"/>
  <c r="W618" i="3" s="1"/>
  <c r="J618" i="3"/>
  <c r="AD618" i="3" s="1"/>
  <c r="M618" i="3"/>
  <c r="N618" i="3" s="1"/>
  <c r="T619" i="3" l="1"/>
  <c r="L618" i="3"/>
  <c r="AH619" i="3" l="1"/>
  <c r="AG619" i="3"/>
  <c r="U618" i="3"/>
  <c r="D619" i="3" s="1"/>
  <c r="Y617" i="3"/>
  <c r="E619" i="3" l="1"/>
  <c r="H619" i="3" s="1"/>
  <c r="K619" i="3" s="1"/>
  <c r="AE619" i="3" s="1"/>
  <c r="G619" i="3"/>
  <c r="F619" i="3" l="1"/>
  <c r="I619" i="3"/>
  <c r="J619" i="3"/>
  <c r="M619" i="3"/>
  <c r="N619" i="3" s="1"/>
  <c r="V619" i="3"/>
  <c r="A620" i="3"/>
  <c r="B620" i="3" s="1"/>
  <c r="W619" i="3" l="1"/>
  <c r="L619" i="3"/>
  <c r="AC620" i="3"/>
  <c r="AD620" i="3"/>
  <c r="P620" i="3"/>
  <c r="Q620" i="3" s="1"/>
  <c r="R620" i="3" s="1"/>
  <c r="S620" i="3" s="1"/>
  <c r="AA620" i="3"/>
  <c r="Z620" i="3"/>
  <c r="T620" i="3" l="1"/>
  <c r="AH620" i="3" s="1"/>
  <c r="U619" i="3"/>
  <c r="Y618" i="3"/>
  <c r="E620" i="3" l="1"/>
  <c r="H620" i="3" s="1"/>
  <c r="K620" i="3" s="1"/>
  <c r="AE620" i="3" s="1"/>
  <c r="D620" i="3"/>
  <c r="G620" i="3" s="1"/>
  <c r="AG620" i="3"/>
  <c r="F620" i="3" l="1"/>
  <c r="I620" i="3"/>
  <c r="J620" i="3"/>
  <c r="M620" i="3"/>
  <c r="N620" i="3" s="1"/>
  <c r="V620" i="3"/>
  <c r="A621" i="3"/>
  <c r="B621" i="3" s="1"/>
  <c r="W620" i="3" l="1"/>
  <c r="L620" i="3"/>
  <c r="AC621" i="3"/>
  <c r="AA621" i="3"/>
  <c r="P621" i="3"/>
  <c r="Q621" i="3" s="1"/>
  <c r="R621" i="3" s="1"/>
  <c r="S621" i="3" s="1"/>
  <c r="Z621" i="3"/>
  <c r="U620" i="3" l="1"/>
  <c r="Y619" i="3"/>
  <c r="T621" i="3"/>
  <c r="D621" i="3" l="1"/>
  <c r="G621" i="3" s="1"/>
  <c r="AH621" i="3"/>
  <c r="E621" i="3"/>
  <c r="H621" i="3" s="1"/>
  <c r="AG621" i="3"/>
  <c r="F621" i="3" l="1"/>
  <c r="I621" i="3"/>
  <c r="J621" i="3"/>
  <c r="AD621" i="3" s="1"/>
  <c r="M621" i="3"/>
  <c r="N621" i="3" s="1"/>
  <c r="K621" i="3"/>
  <c r="AE621" i="3" s="1"/>
  <c r="V621" i="3" l="1"/>
  <c r="W621" i="3" s="1"/>
  <c r="A622" i="3"/>
  <c r="B622" i="3" s="1"/>
  <c r="L621" i="3"/>
  <c r="U621" i="3" l="1"/>
  <c r="Y620" i="3"/>
  <c r="AA622" i="3"/>
  <c r="AC622" i="3"/>
  <c r="P622" i="3"/>
  <c r="Q622" i="3" s="1"/>
  <c r="R622" i="3" s="1"/>
  <c r="S622" i="3" s="1"/>
  <c r="Z622" i="3"/>
  <c r="AD622" i="3"/>
  <c r="T622" i="3" l="1"/>
  <c r="AG622" i="3" s="1"/>
  <c r="D622" i="3" l="1"/>
  <c r="E622" i="3"/>
  <c r="H622" i="3" s="1"/>
  <c r="K622" i="3" s="1"/>
  <c r="AE622" i="3" s="1"/>
  <c r="AH622" i="3"/>
  <c r="F622" i="3" l="1"/>
  <c r="G622" i="3"/>
  <c r="I622" i="3" s="1"/>
  <c r="V622" i="3"/>
  <c r="A623" i="3"/>
  <c r="B623" i="3" s="1"/>
  <c r="M622" i="3" l="1"/>
  <c r="N622" i="3" s="1"/>
  <c r="J622" i="3"/>
  <c r="L622" i="3" s="1"/>
  <c r="W622" i="3"/>
  <c r="P623" i="3"/>
  <c r="Q623" i="3" s="1"/>
  <c r="R623" i="3" s="1"/>
  <c r="S623" i="3" s="1"/>
  <c r="Z623" i="3"/>
  <c r="AD623" i="3"/>
  <c r="AA623" i="3"/>
  <c r="AC623" i="3"/>
  <c r="U622" i="3" l="1"/>
  <c r="Y621" i="3"/>
  <c r="T623" i="3"/>
  <c r="D623" i="3" l="1"/>
  <c r="G623" i="3" s="1"/>
  <c r="AH623" i="3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U623" i="3" l="1"/>
  <c r="Y622" i="3"/>
  <c r="AA624" i="3"/>
  <c r="Z624" i="3"/>
  <c r="AC624" i="3"/>
  <c r="P624" i="3"/>
  <c r="Q624" i="3" s="1"/>
  <c r="R624" i="3" s="1"/>
  <c r="S624" i="3" s="1"/>
  <c r="T624" i="3" l="1"/>
  <c r="D624" i="3" s="1"/>
  <c r="AG624" i="3" l="1"/>
  <c r="AH624" i="3"/>
  <c r="E624" i="3"/>
  <c r="H624" i="3" s="1"/>
  <c r="K624" i="3" s="1"/>
  <c r="AE624" i="3" s="1"/>
  <c r="G624" i="3"/>
  <c r="F624" i="3" l="1"/>
  <c r="I624" i="3"/>
  <c r="J624" i="3"/>
  <c r="AD624" i="3" s="1"/>
  <c r="M624" i="3"/>
  <c r="N624" i="3" s="1"/>
  <c r="V624" i="3"/>
  <c r="A625" i="3"/>
  <c r="B625" i="3" s="1"/>
  <c r="W624" i="3" l="1"/>
  <c r="L624" i="3"/>
  <c r="P625" i="3"/>
  <c r="Q625" i="3" s="1"/>
  <c r="R625" i="3" s="1"/>
  <c r="S625" i="3" s="1"/>
  <c r="AD625" i="3"/>
  <c r="AA625" i="3"/>
  <c r="Z625" i="3"/>
  <c r="AC625" i="3"/>
  <c r="U624" i="3" l="1"/>
  <c r="Y623" i="3"/>
  <c r="T625" i="3"/>
  <c r="D625" i="3" l="1"/>
  <c r="G625" i="3" s="1"/>
  <c r="E625" i="3"/>
  <c r="H625" i="3" s="1"/>
  <c r="AH625" i="3"/>
  <c r="AG625" i="3"/>
  <c r="F625" i="3" l="1"/>
  <c r="I625" i="3"/>
  <c r="J625" i="3"/>
  <c r="M625" i="3"/>
  <c r="N625" i="3" s="1"/>
  <c r="K625" i="3"/>
  <c r="AE625" i="3" s="1"/>
  <c r="V625" i="3" l="1"/>
  <c r="W625" i="3" s="1"/>
  <c r="A626" i="3"/>
  <c r="B626" i="3" s="1"/>
  <c r="L625" i="3"/>
  <c r="U625" i="3" l="1"/>
  <c r="Y624" i="3"/>
  <c r="AD626" i="3"/>
  <c r="Z626" i="3"/>
  <c r="AC626" i="3"/>
  <c r="P626" i="3"/>
  <c r="Q626" i="3" s="1"/>
  <c r="R626" i="3" s="1"/>
  <c r="S626" i="3" s="1"/>
  <c r="AA626" i="3"/>
  <c r="T626" i="3" l="1"/>
  <c r="E626" i="3" s="1"/>
  <c r="H626" i="3" s="1"/>
  <c r="AG626" i="3" l="1"/>
  <c r="K626" i="3"/>
  <c r="AE626" i="3" s="1"/>
  <c r="D626" i="3"/>
  <c r="AH626" i="3"/>
  <c r="V626" i="3" l="1"/>
  <c r="A627" i="3"/>
  <c r="B627" i="3" s="1"/>
  <c r="F626" i="3"/>
  <c r="G626" i="3"/>
  <c r="I626" i="3" l="1"/>
  <c r="W626" i="3" s="1"/>
  <c r="J626" i="3"/>
  <c r="M626" i="3"/>
  <c r="N626" i="3" s="1"/>
  <c r="Z627" i="3"/>
  <c r="P627" i="3"/>
  <c r="Q627" i="3" s="1"/>
  <c r="R627" i="3" s="1"/>
  <c r="S627" i="3" s="1"/>
  <c r="AC627" i="3"/>
  <c r="AA627" i="3"/>
  <c r="L626" i="3" l="1"/>
  <c r="T627" i="3"/>
  <c r="AG627" i="3" l="1"/>
  <c r="U626" i="3"/>
  <c r="D627" i="3" s="1"/>
  <c r="AH627" i="3"/>
  <c r="Y625" i="3"/>
  <c r="G627" i="3" l="1"/>
  <c r="E627" i="3"/>
  <c r="H627" i="3" s="1"/>
  <c r="K627" i="3" l="1"/>
  <c r="AE627" i="3" s="1"/>
  <c r="I627" i="3"/>
  <c r="J627" i="3"/>
  <c r="AD627" i="3" s="1"/>
  <c r="M627" i="3"/>
  <c r="N627" i="3" s="1"/>
  <c r="F627" i="3"/>
  <c r="L627" i="3" l="1"/>
  <c r="V627" i="3"/>
  <c r="W627" i="3" s="1"/>
  <c r="A628" i="3"/>
  <c r="B628" i="3" s="1"/>
  <c r="Z628" i="3" l="1"/>
  <c r="AA628" i="3"/>
  <c r="P628" i="3"/>
  <c r="Q628" i="3" s="1"/>
  <c r="R628" i="3" s="1"/>
  <c r="S628" i="3" s="1"/>
  <c r="AC628" i="3"/>
  <c r="U627" i="3"/>
  <c r="Y626" i="3"/>
  <c r="T628" i="3" l="1"/>
  <c r="D628" i="3" l="1"/>
  <c r="E628" i="3"/>
  <c r="H628" i="3" s="1"/>
  <c r="AG628" i="3"/>
  <c r="AH628" i="3"/>
  <c r="F628" i="3" l="1"/>
  <c r="G628" i="3"/>
  <c r="K628" i="3"/>
  <c r="AE628" i="3" s="1"/>
  <c r="I628" i="3" l="1"/>
  <c r="J628" i="3"/>
  <c r="AD628" i="3" s="1"/>
  <c r="M628" i="3"/>
  <c r="N628" i="3" s="1"/>
  <c r="V628" i="3"/>
  <c r="A629" i="3"/>
  <c r="B629" i="3" s="1"/>
  <c r="W628" i="3" l="1"/>
  <c r="L628" i="3"/>
  <c r="AC629" i="3"/>
  <c r="AA629" i="3"/>
  <c r="P629" i="3"/>
  <c r="Q629" i="3" s="1"/>
  <c r="R629" i="3" s="1"/>
  <c r="S629" i="3" s="1"/>
  <c r="AD629" i="3"/>
  <c r="Z629" i="3"/>
  <c r="T629" i="3" l="1"/>
  <c r="U628" i="3"/>
  <c r="Y627" i="3"/>
  <c r="E629" i="3" l="1"/>
  <c r="H629" i="3" s="1"/>
  <c r="K629" i="3" s="1"/>
  <c r="AE629" i="3" s="1"/>
  <c r="AH629" i="3"/>
  <c r="AG629" i="3"/>
  <c r="D629" i="3"/>
  <c r="F629" i="3" l="1"/>
  <c r="G629" i="3"/>
  <c r="V629" i="3"/>
  <c r="A630" i="3"/>
  <c r="B630" i="3" s="1"/>
  <c r="I629" i="3" l="1"/>
  <c r="W629" i="3" s="1"/>
  <c r="J629" i="3"/>
  <c r="M629" i="3"/>
  <c r="N629" i="3" s="1"/>
  <c r="AD630" i="3"/>
  <c r="P630" i="3"/>
  <c r="Q630" i="3" s="1"/>
  <c r="R630" i="3" s="1"/>
  <c r="S630" i="3" s="1"/>
  <c r="AC630" i="3"/>
  <c r="AA630" i="3"/>
  <c r="Z630" i="3"/>
  <c r="T630" i="3" l="1"/>
  <c r="L629" i="3"/>
  <c r="U629" i="3" l="1"/>
  <c r="D630" i="3" s="1"/>
  <c r="AH630" i="3"/>
  <c r="AG630" i="3"/>
  <c r="Y628" i="3"/>
  <c r="G630" i="3" l="1"/>
  <c r="E630" i="3"/>
  <c r="H630" i="3" s="1"/>
  <c r="F630" i="3" l="1"/>
  <c r="K630" i="3"/>
  <c r="AE630" i="3" s="1"/>
  <c r="I630" i="3"/>
  <c r="J630" i="3"/>
  <c r="M630" i="3"/>
  <c r="N630" i="3" s="1"/>
  <c r="V630" i="3" l="1"/>
  <c r="W630" i="3" s="1"/>
  <c r="A631" i="3"/>
  <c r="B631" i="3" s="1"/>
  <c r="L630" i="3"/>
  <c r="U630" i="3" l="1"/>
  <c r="Y629" i="3"/>
  <c r="P631" i="3"/>
  <c r="Q631" i="3" s="1"/>
  <c r="R631" i="3" s="1"/>
  <c r="S631" i="3" s="1"/>
  <c r="AC631" i="3"/>
  <c r="AA631" i="3"/>
  <c r="Z631" i="3"/>
  <c r="T631" i="3" l="1"/>
  <c r="D631" i="3" s="1"/>
  <c r="AH631" i="3" l="1"/>
  <c r="E631" i="3"/>
  <c r="H631" i="3" s="1"/>
  <c r="K631" i="3" s="1"/>
  <c r="AE631" i="3" s="1"/>
  <c r="G631" i="3"/>
  <c r="AG631" i="3"/>
  <c r="F631" i="3" l="1"/>
  <c r="I631" i="3"/>
  <c r="J631" i="3"/>
  <c r="AD631" i="3" s="1"/>
  <c r="M631" i="3"/>
  <c r="N631" i="3" s="1"/>
  <c r="V631" i="3"/>
  <c r="A632" i="3"/>
  <c r="B632" i="3" s="1"/>
  <c r="L631" i="3" l="1"/>
  <c r="W631" i="3"/>
  <c r="AC632" i="3"/>
  <c r="AA632" i="3"/>
  <c r="Z632" i="3"/>
  <c r="P632" i="3"/>
  <c r="Q632" i="3" s="1"/>
  <c r="R632" i="3" s="1"/>
  <c r="S632" i="3" s="1"/>
  <c r="T632" i="3" l="1"/>
  <c r="U631" i="3"/>
  <c r="Y630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AD632" i="3" s="1"/>
  <c r="M632" i="3"/>
  <c r="N632" i="3" s="1"/>
  <c r="V632" i="3"/>
  <c r="A633" i="3"/>
  <c r="B633" i="3" s="1"/>
  <c r="W632" i="3" l="1"/>
  <c r="L632" i="3"/>
  <c r="Z633" i="3"/>
  <c r="AC633" i="3"/>
  <c r="P633" i="3"/>
  <c r="Q633" i="3" s="1"/>
  <c r="R633" i="3" s="1"/>
  <c r="S633" i="3" s="1"/>
  <c r="AA633" i="3"/>
  <c r="U632" i="3" l="1"/>
  <c r="Y631" i="3"/>
  <c r="T633" i="3"/>
  <c r="AG633" i="3" s="1"/>
  <c r="D633" i="3" l="1"/>
  <c r="G633" i="3" s="1"/>
  <c r="E633" i="3"/>
  <c r="H633" i="3" s="1"/>
  <c r="K633" i="3" s="1"/>
  <c r="AE633" i="3" s="1"/>
  <c r="AH633" i="3"/>
  <c r="F633" i="3" l="1"/>
  <c r="V633" i="3"/>
  <c r="A634" i="3"/>
  <c r="B634" i="3" s="1"/>
  <c r="I633" i="3"/>
  <c r="J633" i="3"/>
  <c r="AD633" i="3" s="1"/>
  <c r="M633" i="3"/>
  <c r="N633" i="3" s="1"/>
  <c r="L633" i="3" l="1"/>
  <c r="W633" i="3"/>
  <c r="P634" i="3"/>
  <c r="Q634" i="3" s="1"/>
  <c r="R634" i="3" s="1"/>
  <c r="S634" i="3" s="1"/>
  <c r="AA634" i="3"/>
  <c r="AC634" i="3"/>
  <c r="Z634" i="3"/>
  <c r="U633" i="3" l="1"/>
  <c r="Y632" i="3"/>
  <c r="T634" i="3"/>
  <c r="AH634" i="3" s="1"/>
  <c r="E634" i="3" l="1"/>
  <c r="H634" i="3" s="1"/>
  <c r="K634" i="3" s="1"/>
  <c r="AE634" i="3" s="1"/>
  <c r="AG634" i="3"/>
  <c r="D634" i="3"/>
  <c r="F634" i="3" l="1"/>
  <c r="G634" i="3"/>
  <c r="V634" i="3"/>
  <c r="A635" i="3"/>
  <c r="B635" i="3" s="1"/>
  <c r="Z635" i="3" l="1"/>
  <c r="AA635" i="3"/>
  <c r="P635" i="3"/>
  <c r="Q635" i="3" s="1"/>
  <c r="R635" i="3" s="1"/>
  <c r="S635" i="3" s="1"/>
  <c r="AC635" i="3"/>
  <c r="I634" i="3"/>
  <c r="W634" i="3" s="1"/>
  <c r="J634" i="3"/>
  <c r="AD634" i="3" s="1"/>
  <c r="M634" i="3"/>
  <c r="N634" i="3" s="1"/>
  <c r="T635" i="3" l="1"/>
  <c r="L634" i="3"/>
  <c r="AH635" i="3" l="1"/>
  <c r="U634" i="3"/>
  <c r="D635" i="3" s="1"/>
  <c r="AG635" i="3"/>
  <c r="Y633" i="3"/>
  <c r="E635" i="3" l="1"/>
  <c r="H635" i="3" s="1"/>
  <c r="K635" i="3" s="1"/>
  <c r="AE635" i="3" s="1"/>
  <c r="G635" i="3"/>
  <c r="F635" i="3" l="1"/>
  <c r="I635" i="3"/>
  <c r="J635" i="3"/>
  <c r="AD635" i="3" s="1"/>
  <c r="M635" i="3"/>
  <c r="N635" i="3" s="1"/>
  <c r="V635" i="3"/>
  <c r="A636" i="3"/>
  <c r="B636" i="3" s="1"/>
  <c r="W635" i="3" l="1"/>
  <c r="L635" i="3"/>
  <c r="AC636" i="3"/>
  <c r="AA636" i="3"/>
  <c r="P636" i="3"/>
  <c r="Q636" i="3" s="1"/>
  <c r="R636" i="3" s="1"/>
  <c r="S636" i="3" s="1"/>
  <c r="Z636" i="3"/>
  <c r="U635" i="3" l="1"/>
  <c r="Y634" i="3"/>
  <c r="T636" i="3"/>
  <c r="AG636" i="3" s="1"/>
  <c r="AH636" i="3" l="1"/>
  <c r="D636" i="3"/>
  <c r="E636" i="3"/>
  <c r="H636" i="3" s="1"/>
  <c r="F636" i="3" l="1"/>
  <c r="G636" i="3"/>
  <c r="K636" i="3"/>
  <c r="AE636" i="3" s="1"/>
  <c r="I636" i="3" l="1"/>
  <c r="J636" i="3"/>
  <c r="AD636" i="3" s="1"/>
  <c r="M636" i="3"/>
  <c r="N636" i="3" s="1"/>
  <c r="V636" i="3"/>
  <c r="A637" i="3"/>
  <c r="B637" i="3" s="1"/>
  <c r="W636" i="3" l="1"/>
  <c r="L636" i="3"/>
  <c r="Z637" i="3"/>
  <c r="P637" i="3"/>
  <c r="Q637" i="3" s="1"/>
  <c r="R637" i="3" s="1"/>
  <c r="S637" i="3" s="1"/>
  <c r="AC637" i="3"/>
  <c r="AA637" i="3"/>
  <c r="U636" i="3" l="1"/>
  <c r="Y635" i="3"/>
  <c r="T637" i="3"/>
  <c r="AG637" i="3" s="1"/>
  <c r="D637" i="3" l="1"/>
  <c r="AH637" i="3"/>
  <c r="E637" i="3"/>
  <c r="H637" i="3" s="1"/>
  <c r="F637" i="3" l="1"/>
  <c r="G637" i="3"/>
  <c r="K637" i="3"/>
  <c r="AE637" i="3" s="1"/>
  <c r="I637" i="3" l="1"/>
  <c r="J637" i="3"/>
  <c r="AD637" i="3" s="1"/>
  <c r="M637" i="3"/>
  <c r="N637" i="3" s="1"/>
  <c r="V637" i="3"/>
  <c r="A638" i="3"/>
  <c r="B638" i="3" s="1"/>
  <c r="W637" i="3" l="1"/>
  <c r="L637" i="3"/>
  <c r="P638" i="3"/>
  <c r="Q638" i="3" s="1"/>
  <c r="R638" i="3" s="1"/>
  <c r="S638" i="3" s="1"/>
  <c r="AC638" i="3"/>
  <c r="AA638" i="3"/>
  <c r="Z638" i="3"/>
  <c r="T638" i="3" l="1"/>
  <c r="AG638" i="3" s="1"/>
  <c r="U637" i="3"/>
  <c r="Y636" i="3"/>
  <c r="D638" i="3" l="1"/>
  <c r="G638" i="3" s="1"/>
  <c r="E638" i="3"/>
  <c r="H638" i="3" s="1"/>
  <c r="AH638" i="3"/>
  <c r="F638" i="3" l="1"/>
  <c r="I638" i="3"/>
  <c r="J638" i="3"/>
  <c r="AD638" i="3" s="1"/>
  <c r="M638" i="3"/>
  <c r="N638" i="3" s="1"/>
  <c r="K638" i="3"/>
  <c r="AE638" i="3" s="1"/>
  <c r="V638" i="3" l="1"/>
  <c r="W638" i="3" s="1"/>
  <c r="A639" i="3"/>
  <c r="B639" i="3" s="1"/>
  <c r="L638" i="3"/>
  <c r="U638" i="3" l="1"/>
  <c r="Y637" i="3"/>
  <c r="AC639" i="3"/>
  <c r="P639" i="3"/>
  <c r="Q639" i="3" s="1"/>
  <c r="R639" i="3" s="1"/>
  <c r="S639" i="3" s="1"/>
  <c r="AA639" i="3"/>
  <c r="Z639" i="3"/>
  <c r="T639" i="3" l="1"/>
  <c r="D639" i="3" s="1"/>
  <c r="AG639" i="3" l="1"/>
  <c r="E639" i="3"/>
  <c r="H639" i="3" s="1"/>
  <c r="K639" i="3" s="1"/>
  <c r="AE639" i="3" s="1"/>
  <c r="AH639" i="3"/>
  <c r="G639" i="3"/>
  <c r="F639" i="3" l="1"/>
  <c r="V639" i="3"/>
  <c r="A640" i="3"/>
  <c r="B640" i="3" s="1"/>
  <c r="I639" i="3"/>
  <c r="J639" i="3"/>
  <c r="AD639" i="3" s="1"/>
  <c r="M639" i="3"/>
  <c r="N639" i="3" s="1"/>
  <c r="W639" i="3" l="1"/>
  <c r="L639" i="3"/>
  <c r="P640" i="3"/>
  <c r="Q640" i="3" s="1"/>
  <c r="R640" i="3" s="1"/>
  <c r="S640" i="3" s="1"/>
  <c r="AA640" i="3"/>
  <c r="AC640" i="3"/>
  <c r="Z640" i="3"/>
  <c r="U639" i="3" l="1"/>
  <c r="Y638" i="3"/>
  <c r="T640" i="3"/>
  <c r="E640" i="3" l="1"/>
  <c r="H640" i="3" s="1"/>
  <c r="K640" i="3" s="1"/>
  <c r="AE640" i="3" s="1"/>
  <c r="D640" i="3"/>
  <c r="AG640" i="3"/>
  <c r="AH640" i="3"/>
  <c r="F640" i="3" l="1"/>
  <c r="G640" i="3"/>
  <c r="V640" i="3"/>
  <c r="A641" i="3"/>
  <c r="B641" i="3" s="1"/>
  <c r="AC641" i="3" l="1"/>
  <c r="AA641" i="3"/>
  <c r="AD641" i="3"/>
  <c r="Z641" i="3"/>
  <c r="P641" i="3"/>
  <c r="Q641" i="3" s="1"/>
  <c r="R641" i="3" s="1"/>
  <c r="S641" i="3" s="1"/>
  <c r="I640" i="3"/>
  <c r="W640" i="3" s="1"/>
  <c r="J640" i="3"/>
  <c r="AD640" i="3" s="1"/>
  <c r="M640" i="3"/>
  <c r="N640" i="3" s="1"/>
  <c r="L640" i="3" l="1"/>
  <c r="T641" i="3"/>
  <c r="U640" i="3" l="1"/>
  <c r="E641" i="3" s="1"/>
  <c r="H641" i="3" s="1"/>
  <c r="AG641" i="3"/>
  <c r="AH641" i="3"/>
  <c r="Y639" i="3"/>
  <c r="K641" i="3" l="1"/>
  <c r="AE641" i="3" s="1"/>
  <c r="D641" i="3"/>
  <c r="V641" i="3" l="1"/>
  <c r="A642" i="3"/>
  <c r="B642" i="3" s="1"/>
  <c r="F641" i="3"/>
  <c r="G641" i="3"/>
  <c r="I641" i="3" l="1"/>
  <c r="W641" i="3" s="1"/>
  <c r="J641" i="3"/>
  <c r="M641" i="3"/>
  <c r="N641" i="3" s="1"/>
  <c r="Z642" i="3"/>
  <c r="AD642" i="3"/>
  <c r="P642" i="3"/>
  <c r="Q642" i="3" s="1"/>
  <c r="R642" i="3" s="1"/>
  <c r="S642" i="3" s="1"/>
  <c r="AC642" i="3"/>
  <c r="AA642" i="3"/>
  <c r="T642" i="3" l="1"/>
  <c r="L641" i="3"/>
  <c r="U641" i="3" l="1"/>
  <c r="D642" i="3" s="1"/>
  <c r="AG642" i="3"/>
  <c r="AH642" i="3"/>
  <c r="Y640" i="3"/>
  <c r="E642" i="3" l="1"/>
  <c r="H642" i="3" s="1"/>
  <c r="K642" i="3" s="1"/>
  <c r="AE642" i="3" s="1"/>
  <c r="G642" i="3"/>
  <c r="F642" i="3" l="1"/>
  <c r="I642" i="3"/>
  <c r="J642" i="3"/>
  <c r="M642" i="3"/>
  <c r="N642" i="3" s="1"/>
  <c r="V642" i="3"/>
  <c r="A643" i="3"/>
  <c r="B643" i="3" s="1"/>
  <c r="W642" i="3" l="1"/>
  <c r="L642" i="3"/>
  <c r="AA643" i="3"/>
  <c r="AD643" i="3"/>
  <c r="AC643" i="3"/>
  <c r="P643" i="3"/>
  <c r="Q643" i="3" s="1"/>
  <c r="R643" i="3" s="1"/>
  <c r="S643" i="3" s="1"/>
  <c r="Z643" i="3"/>
  <c r="U642" i="3" l="1"/>
  <c r="Y641" i="3"/>
  <c r="T643" i="3"/>
  <c r="AH643" i="3" s="1"/>
  <c r="AG643" i="3" l="1"/>
  <c r="E643" i="3"/>
  <c r="H643" i="3" s="1"/>
  <c r="K643" i="3" s="1"/>
  <c r="AE643" i="3" s="1"/>
  <c r="D643" i="3"/>
  <c r="F643" i="3" l="1"/>
  <c r="G643" i="3"/>
  <c r="M643" i="3" s="1"/>
  <c r="N643" i="3" s="1"/>
  <c r="V643" i="3"/>
  <c r="A644" i="3"/>
  <c r="B644" i="3" s="1"/>
  <c r="I643" i="3" l="1"/>
  <c r="W643" i="3" s="1"/>
  <c r="J643" i="3"/>
  <c r="L643" i="3" s="1"/>
  <c r="P644" i="3"/>
  <c r="Q644" i="3" s="1"/>
  <c r="R644" i="3" s="1"/>
  <c r="S644" i="3" s="1"/>
  <c r="AA644" i="3"/>
  <c r="AC644" i="3"/>
  <c r="Z644" i="3"/>
  <c r="U643" i="3" l="1"/>
  <c r="Y642" i="3"/>
  <c r="T644" i="3"/>
  <c r="AG644" i="3" s="1"/>
  <c r="AH644" i="3" l="1"/>
  <c r="D644" i="3"/>
  <c r="E644" i="3"/>
  <c r="H644" i="3" s="1"/>
  <c r="K644" i="3" l="1"/>
  <c r="AE644" i="3" s="1"/>
  <c r="F644" i="3"/>
  <c r="G644" i="3"/>
  <c r="I644" i="3" l="1"/>
  <c r="J644" i="3"/>
  <c r="AD644" i="3" s="1"/>
  <c r="M644" i="3"/>
  <c r="N644" i="3" s="1"/>
  <c r="V644" i="3"/>
  <c r="A645" i="3"/>
  <c r="B645" i="3" s="1"/>
  <c r="L644" i="3" l="1"/>
  <c r="W644" i="3"/>
  <c r="Z645" i="3"/>
  <c r="P645" i="3"/>
  <c r="Q645" i="3" s="1"/>
  <c r="R645" i="3" s="1"/>
  <c r="S645" i="3" s="1"/>
  <c r="AD645" i="3"/>
  <c r="AA645" i="3"/>
  <c r="AC645" i="3"/>
  <c r="U644" i="3" l="1"/>
  <c r="Y643" i="3"/>
  <c r="T645" i="3"/>
  <c r="AG645" i="3" s="1"/>
  <c r="D645" i="3" l="1"/>
  <c r="AH645" i="3"/>
  <c r="E645" i="3"/>
  <c r="H645" i="3" s="1"/>
  <c r="F645" i="3" l="1"/>
  <c r="G645" i="3"/>
  <c r="K645" i="3"/>
  <c r="AE645" i="3" s="1"/>
  <c r="I645" i="3" l="1"/>
  <c r="J645" i="3"/>
  <c r="M645" i="3"/>
  <c r="N645" i="3" s="1"/>
  <c r="V645" i="3"/>
  <c r="A646" i="3"/>
  <c r="B646" i="3" s="1"/>
  <c r="W645" i="3" l="1"/>
  <c r="L645" i="3"/>
  <c r="AA646" i="3"/>
  <c r="Z646" i="3"/>
  <c r="AC646" i="3"/>
  <c r="AD646" i="3"/>
  <c r="P646" i="3"/>
  <c r="Q646" i="3" s="1"/>
  <c r="R646" i="3" s="1"/>
  <c r="S646" i="3" s="1"/>
  <c r="U645" i="3" l="1"/>
  <c r="Y644" i="3"/>
  <c r="T646" i="3"/>
  <c r="AG646" i="3" s="1"/>
  <c r="E646" i="3" l="1"/>
  <c r="H646" i="3" s="1"/>
  <c r="D646" i="3"/>
  <c r="AH646" i="3"/>
  <c r="F646" i="3" l="1"/>
  <c r="G646" i="3"/>
  <c r="K646" i="3"/>
  <c r="AE646" i="3" s="1"/>
  <c r="I646" i="3" l="1"/>
  <c r="J646" i="3"/>
  <c r="M646" i="3"/>
  <c r="N646" i="3" s="1"/>
  <c r="V646" i="3"/>
  <c r="A647" i="3"/>
  <c r="B647" i="3" s="1"/>
  <c r="L646" i="3" l="1"/>
  <c r="W646" i="3"/>
  <c r="P647" i="3"/>
  <c r="Q647" i="3" s="1"/>
  <c r="R647" i="3" s="1"/>
  <c r="S647" i="3" s="1"/>
  <c r="AC647" i="3"/>
  <c r="AA647" i="3"/>
  <c r="Z647" i="3"/>
  <c r="U646" i="3" l="1"/>
  <c r="Y645" i="3"/>
  <c r="T647" i="3"/>
  <c r="AG647" i="3" s="1"/>
  <c r="E647" i="3" l="1"/>
  <c r="H647" i="3" s="1"/>
  <c r="D647" i="3"/>
  <c r="AH647" i="3"/>
  <c r="F647" i="3" l="1"/>
  <c r="G647" i="3"/>
  <c r="K647" i="3"/>
  <c r="AE647" i="3" s="1"/>
  <c r="V647" i="3" l="1"/>
  <c r="A648" i="3"/>
  <c r="B648" i="3" s="1"/>
  <c r="I647" i="3"/>
  <c r="J647" i="3"/>
  <c r="AD647" i="3" s="1"/>
  <c r="M647" i="3"/>
  <c r="N647" i="3" s="1"/>
  <c r="W647" i="3" l="1"/>
  <c r="L647" i="3"/>
  <c r="AC648" i="3"/>
  <c r="AA648" i="3"/>
  <c r="P648" i="3"/>
  <c r="Q648" i="3" s="1"/>
  <c r="R648" i="3" s="1"/>
  <c r="S648" i="3" s="1"/>
  <c r="Z648" i="3"/>
  <c r="T648" i="3" l="1"/>
  <c r="AH648" i="3" s="1"/>
  <c r="U647" i="3"/>
  <c r="Y646" i="3"/>
  <c r="D648" i="3" l="1"/>
  <c r="AG648" i="3"/>
  <c r="E648" i="3"/>
  <c r="H648" i="3" s="1"/>
  <c r="F648" i="3" l="1"/>
  <c r="G648" i="3"/>
  <c r="K648" i="3"/>
  <c r="AE648" i="3" s="1"/>
  <c r="I648" i="3" l="1"/>
  <c r="J648" i="3"/>
  <c r="AD648" i="3" s="1"/>
  <c r="M648" i="3"/>
  <c r="N648" i="3" s="1"/>
  <c r="V648" i="3"/>
  <c r="A649" i="3"/>
  <c r="B649" i="3" s="1"/>
  <c r="W648" i="3" l="1"/>
  <c r="L648" i="3"/>
  <c r="AC649" i="3"/>
  <c r="AA649" i="3"/>
  <c r="P649" i="3"/>
  <c r="Q649" i="3" s="1"/>
  <c r="R649" i="3" s="1"/>
  <c r="S649" i="3" s="1"/>
  <c r="Z649" i="3"/>
  <c r="U648" i="3" l="1"/>
  <c r="Y647" i="3"/>
  <c r="T649" i="3"/>
  <c r="E649" i="3" l="1"/>
  <c r="H649" i="3" s="1"/>
  <c r="K649" i="3" s="1"/>
  <c r="AE649" i="3" s="1"/>
  <c r="D649" i="3"/>
  <c r="AH649" i="3"/>
  <c r="AG649" i="3"/>
  <c r="V649" i="3" l="1"/>
  <c r="A650" i="3"/>
  <c r="B650" i="3" s="1"/>
  <c r="F649" i="3"/>
  <c r="G649" i="3"/>
  <c r="I649" i="3" l="1"/>
  <c r="W649" i="3" s="1"/>
  <c r="J649" i="3"/>
  <c r="AD649" i="3" s="1"/>
  <c r="M649" i="3"/>
  <c r="N649" i="3" s="1"/>
  <c r="AA650" i="3"/>
  <c r="P650" i="3"/>
  <c r="Q650" i="3" s="1"/>
  <c r="R650" i="3" s="1"/>
  <c r="S650" i="3" s="1"/>
  <c r="Z650" i="3"/>
  <c r="AC650" i="3"/>
  <c r="L649" i="3" l="1"/>
  <c r="T650" i="3"/>
  <c r="U649" i="3" l="1"/>
  <c r="E650" i="3" s="1"/>
  <c r="H650" i="3" s="1"/>
  <c r="AG650" i="3"/>
  <c r="AH650" i="3"/>
  <c r="Y648" i="3"/>
  <c r="K650" i="3" l="1"/>
  <c r="AE650" i="3" s="1"/>
  <c r="D650" i="3"/>
  <c r="V650" i="3" l="1"/>
  <c r="A651" i="3"/>
  <c r="B651" i="3" s="1"/>
  <c r="F650" i="3"/>
  <c r="G650" i="3"/>
  <c r="I650" i="3" l="1"/>
  <c r="W650" i="3" s="1"/>
  <c r="J650" i="3"/>
  <c r="AD650" i="3" s="1"/>
  <c r="M650" i="3"/>
  <c r="N650" i="3" s="1"/>
  <c r="Z651" i="3"/>
  <c r="AC651" i="3"/>
  <c r="P651" i="3"/>
  <c r="Q651" i="3" s="1"/>
  <c r="R651" i="3" s="1"/>
  <c r="S651" i="3" s="1"/>
  <c r="AA651" i="3"/>
  <c r="T651" i="3" l="1"/>
  <c r="L650" i="3"/>
  <c r="AH651" i="3" l="1"/>
  <c r="U650" i="3"/>
  <c r="E651" i="3" s="1"/>
  <c r="H651" i="3" s="1"/>
  <c r="AG651" i="3"/>
  <c r="Y649" i="3"/>
  <c r="D651" i="3" l="1"/>
  <c r="G651" i="3" s="1"/>
  <c r="K651" i="3"/>
  <c r="AE651" i="3" s="1"/>
  <c r="F651" i="3" l="1"/>
  <c r="I651" i="3"/>
  <c r="J651" i="3"/>
  <c r="AD651" i="3" s="1"/>
  <c r="M651" i="3"/>
  <c r="N651" i="3" s="1"/>
  <c r="V651" i="3"/>
  <c r="A652" i="3"/>
  <c r="B652" i="3" s="1"/>
  <c r="W651" i="3" l="1"/>
  <c r="L651" i="3"/>
  <c r="P652" i="3"/>
  <c r="Q652" i="3" s="1"/>
  <c r="R652" i="3" s="1"/>
  <c r="S652" i="3" s="1"/>
  <c r="AC652" i="3"/>
  <c r="AA652" i="3"/>
  <c r="Z652" i="3"/>
  <c r="U651" i="3" l="1"/>
  <c r="Y650" i="3"/>
  <c r="T652" i="3"/>
  <c r="E652" i="3" l="1"/>
  <c r="H652" i="3" s="1"/>
  <c r="K652" i="3" s="1"/>
  <c r="AE652" i="3" s="1"/>
  <c r="AH652" i="3"/>
  <c r="AG652" i="3"/>
  <c r="D652" i="3"/>
  <c r="G652" i="3" s="1"/>
  <c r="F652" i="3" l="1"/>
  <c r="V652" i="3"/>
  <c r="A653" i="3"/>
  <c r="B653" i="3" s="1"/>
  <c r="I652" i="3"/>
  <c r="J652" i="3"/>
  <c r="AD652" i="3" s="1"/>
  <c r="M652" i="3"/>
  <c r="N652" i="3" s="1"/>
  <c r="W652" i="3" l="1"/>
  <c r="L652" i="3"/>
  <c r="Z653" i="3"/>
  <c r="AA653" i="3"/>
  <c r="P653" i="3"/>
  <c r="Q653" i="3" s="1"/>
  <c r="R653" i="3" s="1"/>
  <c r="S653" i="3" s="1"/>
  <c r="AC653" i="3"/>
  <c r="T653" i="3" l="1"/>
  <c r="AG653" i="3" s="1"/>
  <c r="U652" i="3"/>
  <c r="Y651" i="3"/>
  <c r="AH653" i="3" l="1"/>
  <c r="E653" i="3"/>
  <c r="H653" i="3" s="1"/>
  <c r="D653" i="3"/>
  <c r="K653" i="3" l="1"/>
  <c r="AE653" i="3" s="1"/>
  <c r="F653" i="3"/>
  <c r="G653" i="3"/>
  <c r="V653" i="3" l="1"/>
  <c r="A654" i="3"/>
  <c r="B654" i="3" s="1"/>
  <c r="I653" i="3"/>
  <c r="J653" i="3"/>
  <c r="AD653" i="3" s="1"/>
  <c r="M653" i="3"/>
  <c r="N653" i="3" s="1"/>
  <c r="W653" i="3" l="1"/>
  <c r="L653" i="3"/>
  <c r="Z654" i="3"/>
  <c r="P654" i="3"/>
  <c r="Q654" i="3" s="1"/>
  <c r="R654" i="3" s="1"/>
  <c r="S654" i="3" s="1"/>
  <c r="AC654" i="3"/>
  <c r="AA654" i="3"/>
  <c r="T654" i="3" l="1"/>
  <c r="AG654" i="3" s="1"/>
  <c r="U653" i="3"/>
  <c r="Y652" i="3"/>
  <c r="AH654" i="3" l="1"/>
  <c r="E654" i="3"/>
  <c r="H654" i="3" s="1"/>
  <c r="D654" i="3"/>
  <c r="K654" i="3" l="1"/>
  <c r="AE654" i="3" s="1"/>
  <c r="F654" i="3"/>
  <c r="G654" i="3"/>
  <c r="V654" i="3" l="1"/>
  <c r="A655" i="3"/>
  <c r="B655" i="3" s="1"/>
  <c r="I654" i="3"/>
  <c r="J654" i="3"/>
  <c r="AD654" i="3" s="1"/>
  <c r="M654" i="3"/>
  <c r="N654" i="3" s="1"/>
  <c r="L654" i="3" l="1"/>
  <c r="AC655" i="3"/>
  <c r="P655" i="3"/>
  <c r="Q655" i="3" s="1"/>
  <c r="R655" i="3" s="1"/>
  <c r="S655" i="3" s="1"/>
  <c r="Z655" i="3"/>
  <c r="AA655" i="3"/>
  <c r="W654" i="3"/>
  <c r="U654" i="3" l="1"/>
  <c r="Y653" i="3"/>
  <c r="T655" i="3"/>
  <c r="AH655" i="3" s="1"/>
  <c r="AG655" i="3" l="1"/>
  <c r="D655" i="3"/>
  <c r="E655" i="3"/>
  <c r="H655" i="3" s="1"/>
  <c r="K655" i="3" l="1"/>
  <c r="AE655" i="3" s="1"/>
  <c r="F655" i="3"/>
  <c r="G655" i="3"/>
  <c r="V655" i="3" l="1"/>
  <c r="A656" i="3"/>
  <c r="B656" i="3" s="1"/>
  <c r="I655" i="3"/>
  <c r="J655" i="3"/>
  <c r="AD655" i="3" s="1"/>
  <c r="M655" i="3"/>
  <c r="N655" i="3" s="1"/>
  <c r="W655" i="3" l="1"/>
  <c r="L655" i="3"/>
  <c r="Z656" i="3"/>
  <c r="AA656" i="3"/>
  <c r="AC656" i="3"/>
  <c r="P656" i="3"/>
  <c r="Q656" i="3" s="1"/>
  <c r="R656" i="3" s="1"/>
  <c r="S656" i="3" s="1"/>
  <c r="T656" i="3" l="1"/>
  <c r="U655" i="3"/>
  <c r="Y654" i="3"/>
  <c r="E656" i="3" l="1"/>
  <c r="H656" i="3" s="1"/>
  <c r="K656" i="3" s="1"/>
  <c r="AE656" i="3" s="1"/>
  <c r="AH656" i="3"/>
  <c r="D656" i="3"/>
  <c r="AG656" i="3"/>
  <c r="F656" i="3" l="1"/>
  <c r="G656" i="3"/>
  <c r="V656" i="3"/>
  <c r="A657" i="3"/>
  <c r="B657" i="3" s="1"/>
  <c r="I656" i="3" l="1"/>
  <c r="W656" i="3" s="1"/>
  <c r="J656" i="3"/>
  <c r="AD656" i="3" s="1"/>
  <c r="M656" i="3"/>
  <c r="N656" i="3" s="1"/>
  <c r="AC657" i="3"/>
  <c r="P657" i="3"/>
  <c r="Q657" i="3" s="1"/>
  <c r="R657" i="3" s="1"/>
  <c r="S657" i="3" s="1"/>
  <c r="AA657" i="3"/>
  <c r="Z657" i="3"/>
  <c r="L656" i="3" l="1"/>
  <c r="T657" i="3"/>
  <c r="AH657" i="3" l="1"/>
  <c r="U656" i="3"/>
  <c r="E657" i="3" s="1"/>
  <c r="H657" i="3" s="1"/>
  <c r="AG657" i="3"/>
  <c r="Y655" i="3"/>
  <c r="D657" i="3" l="1"/>
  <c r="G657" i="3" s="1"/>
  <c r="K657" i="3"/>
  <c r="AE657" i="3" s="1"/>
  <c r="F657" i="3" l="1"/>
  <c r="I657" i="3"/>
  <c r="J657" i="3"/>
  <c r="AD657" i="3" s="1"/>
  <c r="M657" i="3"/>
  <c r="N657" i="3" s="1"/>
  <c r="V657" i="3"/>
  <c r="A658" i="3"/>
  <c r="B658" i="3" s="1"/>
  <c r="W657" i="3" l="1"/>
  <c r="L657" i="3"/>
  <c r="AC658" i="3"/>
  <c r="Z658" i="3"/>
  <c r="AA658" i="3"/>
  <c r="P658" i="3"/>
  <c r="Q658" i="3" s="1"/>
  <c r="R658" i="3" s="1"/>
  <c r="S658" i="3" s="1"/>
  <c r="U657" i="3" l="1"/>
  <c r="Y656" i="3"/>
  <c r="T658" i="3"/>
  <c r="AG658" i="3" s="1"/>
  <c r="E658" i="3" l="1"/>
  <c r="H658" i="3" s="1"/>
  <c r="D658" i="3"/>
  <c r="AH658" i="3"/>
  <c r="K658" i="3" l="1"/>
  <c r="AE658" i="3" s="1"/>
  <c r="F658" i="3"/>
  <c r="G658" i="3"/>
  <c r="I658" i="3" l="1"/>
  <c r="J658" i="3"/>
  <c r="AD658" i="3" s="1"/>
  <c r="M658" i="3"/>
  <c r="N658" i="3" s="1"/>
  <c r="V658" i="3"/>
  <c r="A659" i="3"/>
  <c r="B659" i="3" s="1"/>
  <c r="W658" i="3" l="1"/>
  <c r="L658" i="3"/>
  <c r="AA659" i="3"/>
  <c r="P659" i="3"/>
  <c r="Q659" i="3" s="1"/>
  <c r="R659" i="3" s="1"/>
  <c r="S659" i="3" s="1"/>
  <c r="Z659" i="3"/>
  <c r="AC659" i="3"/>
  <c r="U658" i="3" l="1"/>
  <c r="Y657" i="3"/>
  <c r="T659" i="3"/>
  <c r="AH659" i="3" s="1"/>
  <c r="E659" i="3" l="1"/>
  <c r="H659" i="3" s="1"/>
  <c r="K659" i="3" s="1"/>
  <c r="AE659" i="3" s="1"/>
  <c r="AG659" i="3"/>
  <c r="D659" i="3"/>
  <c r="G659" i="3" s="1"/>
  <c r="F659" i="3" l="1"/>
  <c r="I659" i="3"/>
  <c r="J659" i="3"/>
  <c r="AD659" i="3" s="1"/>
  <c r="M659" i="3"/>
  <c r="N659" i="3" s="1"/>
  <c r="V659" i="3"/>
  <c r="A660" i="3"/>
  <c r="B660" i="3" s="1"/>
  <c r="W659" i="3" l="1"/>
  <c r="L659" i="3"/>
  <c r="AA660" i="3"/>
  <c r="P660" i="3"/>
  <c r="Q660" i="3" s="1"/>
  <c r="R660" i="3" s="1"/>
  <c r="S660" i="3" s="1"/>
  <c r="AC660" i="3"/>
  <c r="Z660" i="3"/>
  <c r="T660" i="3" l="1"/>
  <c r="AH660" i="3" s="1"/>
  <c r="U659" i="3"/>
  <c r="Y658" i="3"/>
  <c r="AG660" i="3" l="1"/>
  <c r="D660" i="3"/>
  <c r="E660" i="3"/>
  <c r="H660" i="3" s="1"/>
  <c r="K660" i="3" l="1"/>
  <c r="AE660" i="3" s="1"/>
  <c r="F660" i="3"/>
  <c r="G660" i="3"/>
  <c r="I660" i="3" l="1"/>
  <c r="J660" i="3"/>
  <c r="AD660" i="3" s="1"/>
  <c r="M660" i="3"/>
  <c r="N660" i="3" s="1"/>
  <c r="V660" i="3"/>
  <c r="A661" i="3"/>
  <c r="B661" i="3" s="1"/>
  <c r="L660" i="3" l="1"/>
  <c r="W660" i="3"/>
  <c r="Z661" i="3"/>
  <c r="P661" i="3"/>
  <c r="Q661" i="3" s="1"/>
  <c r="R661" i="3" s="1"/>
  <c r="S661" i="3" s="1"/>
  <c r="AA661" i="3"/>
  <c r="AC661" i="3"/>
  <c r="T661" i="3" l="1"/>
  <c r="U660" i="3"/>
  <c r="Y659" i="3"/>
  <c r="E661" i="3" l="1"/>
  <c r="H661" i="3" s="1"/>
  <c r="K661" i="3" s="1"/>
  <c r="AE661" i="3" s="1"/>
  <c r="D661" i="3"/>
  <c r="AH661" i="3"/>
  <c r="AG661" i="3"/>
  <c r="V661" i="3" l="1"/>
  <c r="A662" i="3"/>
  <c r="B662" i="3" s="1"/>
  <c r="F661" i="3"/>
  <c r="G661" i="3"/>
  <c r="I661" i="3" l="1"/>
  <c r="W661" i="3" s="1"/>
  <c r="J661" i="3"/>
  <c r="AD661" i="3" s="1"/>
  <c r="M661" i="3"/>
  <c r="N661" i="3" s="1"/>
  <c r="P662" i="3"/>
  <c r="Q662" i="3" s="1"/>
  <c r="R662" i="3" s="1"/>
  <c r="S662" i="3" s="1"/>
  <c r="Z662" i="3"/>
  <c r="AA662" i="3"/>
  <c r="AC662" i="3"/>
  <c r="T662" i="3" l="1"/>
  <c r="L661" i="3"/>
  <c r="AH662" i="3" l="1"/>
  <c r="AG662" i="3"/>
  <c r="U661" i="3"/>
  <c r="E662" i="3" s="1"/>
  <c r="H662" i="3" s="1"/>
  <c r="Y660" i="3"/>
  <c r="D662" i="3" l="1"/>
  <c r="F662" i="3" s="1"/>
  <c r="K662" i="3"/>
  <c r="AE662" i="3" s="1"/>
  <c r="G662" i="3" l="1"/>
  <c r="I662" i="3" s="1"/>
  <c r="V662" i="3"/>
  <c r="A663" i="3"/>
  <c r="B663" i="3" s="1"/>
  <c r="J662" i="3" l="1"/>
  <c r="M662" i="3"/>
  <c r="N662" i="3" s="1"/>
  <c r="W662" i="3"/>
  <c r="AA663" i="3"/>
  <c r="Z663" i="3"/>
  <c r="P663" i="3"/>
  <c r="Q663" i="3" s="1"/>
  <c r="R663" i="3" s="1"/>
  <c r="S663" i="3" s="1"/>
  <c r="AC663" i="3"/>
  <c r="L662" i="3" l="1"/>
  <c r="AD662" i="3"/>
  <c r="U662" i="3"/>
  <c r="Y661" i="3"/>
  <c r="T663" i="3"/>
  <c r="E663" i="3" l="1"/>
  <c r="H663" i="3" s="1"/>
  <c r="K663" i="3" s="1"/>
  <c r="AE663" i="3" s="1"/>
  <c r="AG663" i="3"/>
  <c r="AH663" i="3"/>
  <c r="D663" i="3"/>
  <c r="F663" i="3" l="1"/>
  <c r="G663" i="3"/>
  <c r="V663" i="3"/>
  <c r="A664" i="3"/>
  <c r="B664" i="3" s="1"/>
  <c r="P664" i="3" l="1"/>
  <c r="Q664" i="3" s="1"/>
  <c r="R664" i="3" s="1"/>
  <c r="S664" i="3" s="1"/>
  <c r="AA664" i="3"/>
  <c r="AC664" i="3"/>
  <c r="Z664" i="3"/>
  <c r="I663" i="3"/>
  <c r="W663" i="3" s="1"/>
  <c r="J663" i="3"/>
  <c r="AD663" i="3" s="1"/>
  <c r="M663" i="3"/>
  <c r="N663" i="3" s="1"/>
  <c r="T664" i="3" l="1"/>
  <c r="L663" i="3"/>
  <c r="AH664" i="3" l="1"/>
  <c r="U663" i="3"/>
  <c r="E664" i="3" s="1"/>
  <c r="H664" i="3" s="1"/>
  <c r="AG664" i="3"/>
  <c r="Y662" i="3"/>
  <c r="D664" i="3" l="1"/>
  <c r="G664" i="3" s="1"/>
  <c r="K664" i="3"/>
  <c r="AE664" i="3" s="1"/>
  <c r="F664" i="3" l="1"/>
  <c r="I664" i="3"/>
  <c r="J664" i="3"/>
  <c r="AD664" i="3" s="1"/>
  <c r="M664" i="3"/>
  <c r="N664" i="3" s="1"/>
  <c r="V664" i="3"/>
  <c r="A665" i="3"/>
  <c r="B665" i="3" s="1"/>
  <c r="W664" i="3" l="1"/>
  <c r="L664" i="3"/>
  <c r="AC665" i="3"/>
  <c r="P665" i="3"/>
  <c r="Q665" i="3" s="1"/>
  <c r="R665" i="3" s="1"/>
  <c r="S665" i="3" s="1"/>
  <c r="AA665" i="3"/>
  <c r="Z665" i="3"/>
  <c r="U664" i="3" l="1"/>
  <c r="Y663" i="3"/>
  <c r="T665" i="3"/>
  <c r="D665" i="3" l="1"/>
  <c r="G665" i="3" s="1"/>
  <c r="AG665" i="3"/>
  <c r="E665" i="3"/>
  <c r="H665" i="3" s="1"/>
  <c r="AH665" i="3"/>
  <c r="F665" i="3" l="1"/>
  <c r="I665" i="3"/>
  <c r="J665" i="3"/>
  <c r="AD665" i="3" s="1"/>
  <c r="M665" i="3"/>
  <c r="N665" i="3" s="1"/>
  <c r="K665" i="3"/>
  <c r="AE665" i="3" s="1"/>
  <c r="L665" i="3" l="1"/>
  <c r="V665" i="3"/>
  <c r="W665" i="3" s="1"/>
  <c r="A666" i="3"/>
  <c r="B666" i="3" s="1"/>
  <c r="U665" i="3" l="1"/>
  <c r="Y664" i="3"/>
  <c r="AA666" i="3"/>
  <c r="P666" i="3"/>
  <c r="Q666" i="3" s="1"/>
  <c r="R666" i="3" s="1"/>
  <c r="S666" i="3" s="1"/>
  <c r="Z666" i="3"/>
  <c r="AC666" i="3"/>
  <c r="T666" i="3" l="1"/>
  <c r="D666" i="3" s="1"/>
  <c r="AG666" i="3" l="1"/>
  <c r="E666" i="3"/>
  <c r="H666" i="3" s="1"/>
  <c r="K666" i="3" s="1"/>
  <c r="AE666" i="3" s="1"/>
  <c r="AH666" i="3"/>
  <c r="G666" i="3"/>
  <c r="F666" i="3" l="1"/>
  <c r="I666" i="3"/>
  <c r="J666" i="3"/>
  <c r="AD666" i="3" s="1"/>
  <c r="M666" i="3"/>
  <c r="N666" i="3" s="1"/>
  <c r="V666" i="3"/>
  <c r="A667" i="3"/>
  <c r="B667" i="3" s="1"/>
  <c r="L666" i="3" l="1"/>
  <c r="W666" i="3"/>
  <c r="AC667" i="3"/>
  <c r="Z667" i="3"/>
  <c r="P667" i="3"/>
  <c r="Q667" i="3" s="1"/>
  <c r="R667" i="3" s="1"/>
  <c r="S667" i="3" s="1"/>
  <c r="AA667" i="3"/>
  <c r="U666" i="3" l="1"/>
  <c r="Y665" i="3"/>
  <c r="T667" i="3"/>
  <c r="AG667" i="3" s="1"/>
  <c r="D667" i="3" l="1"/>
  <c r="E667" i="3"/>
  <c r="H667" i="3" s="1"/>
  <c r="AH667" i="3"/>
  <c r="F667" i="3" l="1"/>
  <c r="G667" i="3"/>
  <c r="K667" i="3"/>
  <c r="AE667" i="3" s="1"/>
  <c r="I667" i="3" l="1"/>
  <c r="J667" i="3"/>
  <c r="AD667" i="3" s="1"/>
  <c r="M667" i="3"/>
  <c r="N667" i="3" s="1"/>
  <c r="V667" i="3"/>
  <c r="A668" i="3"/>
  <c r="B668" i="3" s="1"/>
  <c r="W667" i="3" l="1"/>
  <c r="L667" i="3"/>
  <c r="Z668" i="3"/>
  <c r="P668" i="3"/>
  <c r="Q668" i="3" s="1"/>
  <c r="R668" i="3" s="1"/>
  <c r="S668" i="3" s="1"/>
  <c r="AD668" i="3"/>
  <c r="AC668" i="3"/>
  <c r="AA668" i="3"/>
  <c r="T668" i="3" l="1"/>
  <c r="AH668" i="3" s="1"/>
  <c r="U667" i="3"/>
  <c r="Y666" i="3"/>
  <c r="D668" i="3" l="1"/>
  <c r="G668" i="3" s="1"/>
  <c r="AG668" i="3"/>
  <c r="E668" i="3"/>
  <c r="H668" i="3" s="1"/>
  <c r="F668" i="3" l="1"/>
  <c r="I668" i="3"/>
  <c r="J668" i="3"/>
  <c r="M668" i="3"/>
  <c r="N668" i="3" s="1"/>
  <c r="K668" i="3"/>
  <c r="AE668" i="3" s="1"/>
  <c r="L668" i="3" l="1"/>
  <c r="V668" i="3"/>
  <c r="W668" i="3" s="1"/>
  <c r="A669" i="3"/>
  <c r="B669" i="3" s="1"/>
  <c r="AA669" i="3" l="1"/>
  <c r="P669" i="3"/>
  <c r="Q669" i="3" s="1"/>
  <c r="R669" i="3" s="1"/>
  <c r="S669" i="3" s="1"/>
  <c r="AD669" i="3"/>
  <c r="AC669" i="3"/>
  <c r="Z669" i="3"/>
  <c r="U668" i="3"/>
  <c r="Y667" i="3"/>
  <c r="T669" i="3" l="1"/>
  <c r="AH669" i="3" l="1"/>
  <c r="AG669" i="3"/>
  <c r="D669" i="3"/>
  <c r="E669" i="3"/>
  <c r="H669" i="3" s="1"/>
  <c r="F669" i="3" l="1"/>
  <c r="G669" i="3"/>
  <c r="K669" i="3"/>
  <c r="AE669" i="3" s="1"/>
  <c r="V669" i="3" l="1"/>
  <c r="A670" i="3"/>
  <c r="B670" i="3" s="1"/>
  <c r="I669" i="3"/>
  <c r="J669" i="3"/>
  <c r="M669" i="3"/>
  <c r="N669" i="3" s="1"/>
  <c r="L669" i="3" l="1"/>
  <c r="W669" i="3"/>
  <c r="AD670" i="3"/>
  <c r="P670" i="3"/>
  <c r="Q670" i="3" s="1"/>
  <c r="R670" i="3" s="1"/>
  <c r="S670" i="3" s="1"/>
  <c r="AA670" i="3"/>
  <c r="Z670" i="3"/>
  <c r="AC670" i="3"/>
  <c r="T670" i="3" l="1"/>
  <c r="U669" i="3"/>
  <c r="Y668" i="3"/>
  <c r="E670" i="3" l="1"/>
  <c r="H670" i="3" s="1"/>
  <c r="K670" i="3" s="1"/>
  <c r="AE670" i="3" s="1"/>
  <c r="AH670" i="3"/>
  <c r="AG670" i="3"/>
  <c r="D670" i="3"/>
  <c r="V670" i="3" l="1"/>
  <c r="A671" i="3"/>
  <c r="B671" i="3" s="1"/>
  <c r="F670" i="3"/>
  <c r="G670" i="3"/>
  <c r="I670" i="3" l="1"/>
  <c r="W670" i="3" s="1"/>
  <c r="J670" i="3"/>
  <c r="M670" i="3"/>
  <c r="N670" i="3" s="1"/>
  <c r="AC671" i="3"/>
  <c r="Z671" i="3"/>
  <c r="AD671" i="3"/>
  <c r="AA671" i="3"/>
  <c r="P671" i="3"/>
  <c r="Q671" i="3" s="1"/>
  <c r="R671" i="3" s="1"/>
  <c r="S671" i="3" s="1"/>
  <c r="T671" i="3" l="1"/>
  <c r="L670" i="3"/>
  <c r="U670" i="3" l="1"/>
  <c r="E671" i="3" s="1"/>
  <c r="H671" i="3" s="1"/>
  <c r="AG671" i="3"/>
  <c r="AH671" i="3"/>
  <c r="Y669" i="3"/>
  <c r="D671" i="3" l="1"/>
  <c r="G671" i="3" s="1"/>
  <c r="K671" i="3"/>
  <c r="AE671" i="3" s="1"/>
  <c r="F671" i="3" l="1"/>
  <c r="V671" i="3"/>
  <c r="A672" i="3"/>
  <c r="B672" i="3" s="1"/>
  <c r="I671" i="3"/>
  <c r="J671" i="3"/>
  <c r="M671" i="3"/>
  <c r="N671" i="3" s="1"/>
  <c r="W671" i="3" l="1"/>
  <c r="L671" i="3"/>
  <c r="AD672" i="3"/>
  <c r="P672" i="3"/>
  <c r="Q672" i="3" s="1"/>
  <c r="R672" i="3" s="1"/>
  <c r="S672" i="3" s="1"/>
  <c r="AC672" i="3"/>
  <c r="Z672" i="3"/>
  <c r="AA672" i="3"/>
  <c r="T672" i="3" l="1"/>
  <c r="AG672" i="3" s="1"/>
  <c r="U671" i="3"/>
  <c r="Y670" i="3"/>
  <c r="E672" i="3" l="1"/>
  <c r="H672" i="3" s="1"/>
  <c r="K672" i="3" s="1"/>
  <c r="AE672" i="3" s="1"/>
  <c r="D672" i="3"/>
  <c r="AH672" i="3"/>
  <c r="F672" i="3" l="1"/>
  <c r="G672" i="3"/>
  <c r="V672" i="3"/>
  <c r="A673" i="3"/>
  <c r="B673" i="3" s="1"/>
  <c r="AC673" i="3" l="1"/>
  <c r="AA673" i="3"/>
  <c r="P673" i="3"/>
  <c r="Q673" i="3" s="1"/>
  <c r="R673" i="3" s="1"/>
  <c r="S673" i="3" s="1"/>
  <c r="AD673" i="3"/>
  <c r="Z673" i="3"/>
  <c r="I672" i="3"/>
  <c r="W672" i="3" s="1"/>
  <c r="J672" i="3"/>
  <c r="M672" i="3"/>
  <c r="N672" i="3" s="1"/>
  <c r="L672" i="3" l="1"/>
  <c r="T673" i="3"/>
  <c r="AH673" i="3" l="1"/>
  <c r="AG673" i="3"/>
  <c r="U672" i="3"/>
  <c r="E673" i="3" s="1"/>
  <c r="H673" i="3" s="1"/>
  <c r="Y671" i="3"/>
  <c r="K673" i="3" l="1"/>
  <c r="AE673" i="3" s="1"/>
  <c r="D673" i="3"/>
  <c r="V673" i="3" l="1"/>
  <c r="A674" i="3"/>
  <c r="B674" i="3" s="1"/>
  <c r="F673" i="3"/>
  <c r="G673" i="3"/>
  <c r="I673" i="3" l="1"/>
  <c r="W673" i="3" s="1"/>
  <c r="J673" i="3"/>
  <c r="M673" i="3"/>
  <c r="N673" i="3" s="1"/>
  <c r="P674" i="3"/>
  <c r="Q674" i="3" s="1"/>
  <c r="R674" i="3" s="1"/>
  <c r="S674" i="3" s="1"/>
  <c r="AA674" i="3"/>
  <c r="Z674" i="3"/>
  <c r="AC674" i="3"/>
  <c r="T674" i="3" l="1"/>
  <c r="L673" i="3"/>
  <c r="AH674" i="3" l="1"/>
  <c r="U673" i="3"/>
  <c r="E674" i="3" s="1"/>
  <c r="H674" i="3" s="1"/>
  <c r="AG674" i="3"/>
  <c r="Y672" i="3"/>
  <c r="D674" i="3" l="1"/>
  <c r="G674" i="3" s="1"/>
  <c r="K674" i="3"/>
  <c r="AE674" i="3" s="1"/>
  <c r="F674" i="3" l="1"/>
  <c r="I674" i="3"/>
  <c r="J674" i="3"/>
  <c r="AD674" i="3" s="1"/>
  <c r="M674" i="3"/>
  <c r="N674" i="3" s="1"/>
  <c r="V674" i="3"/>
  <c r="A675" i="3"/>
  <c r="B675" i="3" s="1"/>
  <c r="W674" i="3" l="1"/>
  <c r="L674" i="3"/>
  <c r="P675" i="3"/>
  <c r="Q675" i="3" s="1"/>
  <c r="R675" i="3" s="1"/>
  <c r="S675" i="3" s="1"/>
  <c r="AD675" i="3"/>
  <c r="AA675" i="3"/>
  <c r="AC675" i="3"/>
  <c r="Z675" i="3"/>
  <c r="U674" i="3" l="1"/>
  <c r="Y673" i="3"/>
  <c r="T675" i="3"/>
  <c r="AH675" i="3" s="1"/>
  <c r="AG675" i="3" l="1"/>
  <c r="D675" i="3"/>
  <c r="E675" i="3"/>
  <c r="H675" i="3" s="1"/>
  <c r="F675" i="3" l="1"/>
  <c r="G675" i="3"/>
  <c r="K675" i="3"/>
  <c r="AE675" i="3" s="1"/>
  <c r="I675" i="3" l="1"/>
  <c r="J675" i="3"/>
  <c r="M675" i="3"/>
  <c r="N675" i="3" s="1"/>
  <c r="V675" i="3"/>
  <c r="A676" i="3"/>
  <c r="B676" i="3" s="1"/>
  <c r="W675" i="3" l="1"/>
  <c r="L675" i="3"/>
  <c r="AD676" i="3"/>
  <c r="AC676" i="3"/>
  <c r="P676" i="3"/>
  <c r="Q676" i="3" s="1"/>
  <c r="R676" i="3" s="1"/>
  <c r="S676" i="3" s="1"/>
  <c r="Z676" i="3"/>
  <c r="AA676" i="3"/>
  <c r="T676" i="3" l="1"/>
  <c r="U675" i="3"/>
  <c r="Y674" i="3"/>
  <c r="E676" i="3" l="1"/>
  <c r="H676" i="3" s="1"/>
  <c r="K676" i="3" s="1"/>
  <c r="AE676" i="3" s="1"/>
  <c r="AH676" i="3"/>
  <c r="D676" i="3"/>
  <c r="G676" i="3" s="1"/>
  <c r="AG676" i="3"/>
  <c r="F676" i="3" l="1"/>
  <c r="I676" i="3"/>
  <c r="J676" i="3"/>
  <c r="M676" i="3"/>
  <c r="N676" i="3" s="1"/>
  <c r="V676" i="3"/>
  <c r="A677" i="3"/>
  <c r="B677" i="3" s="1"/>
  <c r="W676" i="3" l="1"/>
  <c r="L676" i="3"/>
  <c r="AA677" i="3"/>
  <c r="AC677" i="3"/>
  <c r="Z677" i="3"/>
  <c r="P677" i="3"/>
  <c r="Q677" i="3" s="1"/>
  <c r="R677" i="3" s="1"/>
  <c r="S677" i="3" s="1"/>
  <c r="U676" i="3" l="1"/>
  <c r="Y675" i="3"/>
  <c r="T677" i="3"/>
  <c r="AG677" i="3" s="1"/>
  <c r="D677" i="3" l="1"/>
  <c r="G677" i="3" s="1"/>
  <c r="AH677" i="3"/>
  <c r="E677" i="3"/>
  <c r="H677" i="3" s="1"/>
  <c r="F677" i="3" l="1"/>
  <c r="I677" i="3"/>
  <c r="J677" i="3"/>
  <c r="AD677" i="3" s="1"/>
  <c r="M677" i="3"/>
  <c r="N677" i="3" s="1"/>
  <c r="K677" i="3"/>
  <c r="AE677" i="3" s="1"/>
  <c r="V677" i="3" l="1"/>
  <c r="W677" i="3" s="1"/>
  <c r="A678" i="3"/>
  <c r="B678" i="3" s="1"/>
  <c r="L677" i="3"/>
  <c r="U677" i="3" l="1"/>
  <c r="Y676" i="3"/>
  <c r="AD678" i="3"/>
  <c r="P678" i="3"/>
  <c r="Q678" i="3" s="1"/>
  <c r="R678" i="3" s="1"/>
  <c r="S678" i="3" s="1"/>
  <c r="Z678" i="3"/>
  <c r="AC678" i="3"/>
  <c r="AA678" i="3"/>
  <c r="T678" i="3" l="1"/>
  <c r="AH678" i="3" s="1"/>
  <c r="E678" i="3" l="1"/>
  <c r="H678" i="3" s="1"/>
  <c r="K678" i="3" s="1"/>
  <c r="AE678" i="3" s="1"/>
  <c r="D678" i="3"/>
  <c r="AG678" i="3"/>
  <c r="F678" i="3" l="1"/>
  <c r="G678" i="3"/>
  <c r="J678" i="3" s="1"/>
  <c r="V678" i="3"/>
  <c r="A679" i="3"/>
  <c r="B679" i="3" s="1"/>
  <c r="M678" i="3" l="1"/>
  <c r="N678" i="3" s="1"/>
  <c r="I678" i="3"/>
  <c r="W678" i="3" s="1"/>
  <c r="L678" i="3"/>
  <c r="P679" i="3"/>
  <c r="Q679" i="3" s="1"/>
  <c r="R679" i="3" s="1"/>
  <c r="S679" i="3" s="1"/>
  <c r="AA679" i="3"/>
  <c r="Z679" i="3"/>
  <c r="AD679" i="3"/>
  <c r="AC679" i="3"/>
  <c r="T679" i="3" l="1"/>
  <c r="U678" i="3"/>
  <c r="Y677" i="3"/>
  <c r="E679" i="3" l="1"/>
  <c r="H679" i="3" s="1"/>
  <c r="K679" i="3" s="1"/>
  <c r="AE679" i="3" s="1"/>
  <c r="AH679" i="3"/>
  <c r="AG679" i="3"/>
  <c r="D679" i="3"/>
  <c r="F679" i="3" l="1"/>
  <c r="G679" i="3"/>
  <c r="V679" i="3"/>
  <c r="A680" i="3"/>
  <c r="B680" i="3" s="1"/>
  <c r="AC680" i="3" l="1"/>
  <c r="P680" i="3"/>
  <c r="Q680" i="3" s="1"/>
  <c r="R680" i="3" s="1"/>
  <c r="S680" i="3" s="1"/>
  <c r="AA680" i="3"/>
  <c r="Z680" i="3"/>
  <c r="AD680" i="3"/>
  <c r="I679" i="3"/>
  <c r="W679" i="3" s="1"/>
  <c r="J679" i="3"/>
  <c r="M679" i="3"/>
  <c r="N679" i="3" s="1"/>
  <c r="L679" i="3" l="1"/>
  <c r="T680" i="3"/>
  <c r="AH680" i="3" l="1"/>
  <c r="U679" i="3"/>
  <c r="E680" i="3" s="1"/>
  <c r="H680" i="3" s="1"/>
  <c r="AG680" i="3"/>
  <c r="Y678" i="3"/>
  <c r="D680" i="3" l="1"/>
  <c r="G680" i="3" s="1"/>
  <c r="K680" i="3"/>
  <c r="AE680" i="3" s="1"/>
  <c r="F680" i="3" l="1"/>
  <c r="I680" i="3"/>
  <c r="J680" i="3"/>
  <c r="M680" i="3"/>
  <c r="N680" i="3" s="1"/>
  <c r="V680" i="3"/>
  <c r="A681" i="3"/>
  <c r="B681" i="3" s="1"/>
  <c r="W680" i="3" l="1"/>
  <c r="L680" i="3"/>
  <c r="AD681" i="3"/>
  <c r="AA681" i="3"/>
  <c r="P681" i="3"/>
  <c r="Q681" i="3" s="1"/>
  <c r="R681" i="3" s="1"/>
  <c r="S681" i="3" s="1"/>
  <c r="Z681" i="3"/>
  <c r="AC681" i="3"/>
  <c r="U680" i="3" l="1"/>
  <c r="Y679" i="3"/>
  <c r="T681" i="3"/>
  <c r="E681" i="3" l="1"/>
  <c r="H681" i="3" s="1"/>
  <c r="K681" i="3" s="1"/>
  <c r="AE681" i="3" s="1"/>
  <c r="AG681" i="3"/>
  <c r="AH681" i="3"/>
  <c r="D681" i="3"/>
  <c r="F681" i="3" l="1"/>
  <c r="G681" i="3"/>
  <c r="V681" i="3"/>
  <c r="A682" i="3"/>
  <c r="B682" i="3" s="1"/>
  <c r="AD682" i="3" l="1"/>
  <c r="Z682" i="3"/>
  <c r="P682" i="3"/>
  <c r="Q682" i="3" s="1"/>
  <c r="R682" i="3" s="1"/>
  <c r="S682" i="3" s="1"/>
  <c r="AC682" i="3"/>
  <c r="AA682" i="3"/>
  <c r="I681" i="3"/>
  <c r="W681" i="3" s="1"/>
  <c r="J681" i="3"/>
  <c r="M681" i="3"/>
  <c r="N681" i="3" s="1"/>
  <c r="L681" i="3" l="1"/>
  <c r="T682" i="3"/>
  <c r="U681" i="3" l="1"/>
  <c r="E682" i="3" s="1"/>
  <c r="H682" i="3" s="1"/>
  <c r="AG682" i="3"/>
  <c r="AH682" i="3"/>
  <c r="Y680" i="3"/>
  <c r="D682" i="3" l="1"/>
  <c r="G682" i="3" s="1"/>
  <c r="K682" i="3"/>
  <c r="AE682" i="3" s="1"/>
  <c r="F682" i="3" l="1"/>
  <c r="V682" i="3"/>
  <c r="A683" i="3"/>
  <c r="B683" i="3" s="1"/>
  <c r="I682" i="3"/>
  <c r="J682" i="3"/>
  <c r="M682" i="3"/>
  <c r="N682" i="3" s="1"/>
  <c r="W682" i="3" l="1"/>
  <c r="L682" i="3"/>
  <c r="P683" i="3"/>
  <c r="Q683" i="3" s="1"/>
  <c r="R683" i="3" s="1"/>
  <c r="S683" i="3" s="1"/>
  <c r="AC683" i="3"/>
  <c r="AD683" i="3"/>
  <c r="AA683" i="3"/>
  <c r="Z683" i="3"/>
  <c r="U682" i="3" l="1"/>
  <c r="Y681" i="3"/>
  <c r="T683" i="3"/>
  <c r="E683" i="3" l="1"/>
  <c r="H683" i="3" s="1"/>
  <c r="K683" i="3" s="1"/>
  <c r="AE683" i="3" s="1"/>
  <c r="AH683" i="3"/>
  <c r="AG683" i="3"/>
  <c r="D683" i="3"/>
  <c r="F683" i="3" l="1"/>
  <c r="G683" i="3"/>
  <c r="V683" i="3"/>
  <c r="A684" i="3"/>
  <c r="B684" i="3" s="1"/>
  <c r="Z684" i="3" l="1"/>
  <c r="AA684" i="3"/>
  <c r="AC684" i="3"/>
  <c r="P684" i="3"/>
  <c r="Q684" i="3" s="1"/>
  <c r="R684" i="3" s="1"/>
  <c r="S684" i="3" s="1"/>
  <c r="I683" i="3"/>
  <c r="W683" i="3" s="1"/>
  <c r="J683" i="3"/>
  <c r="M683" i="3"/>
  <c r="N683" i="3" s="1"/>
  <c r="T684" i="3" l="1"/>
  <c r="L683" i="3"/>
  <c r="AH684" i="3" l="1"/>
  <c r="AG684" i="3"/>
  <c r="U683" i="3"/>
  <c r="D684" i="3" s="1"/>
  <c r="Y682" i="3"/>
  <c r="E684" i="3" l="1"/>
  <c r="H684" i="3" s="1"/>
  <c r="K684" i="3" s="1"/>
  <c r="AE684" i="3" s="1"/>
  <c r="G684" i="3"/>
  <c r="F684" i="3" l="1"/>
  <c r="V684" i="3"/>
  <c r="A685" i="3"/>
  <c r="B685" i="3" s="1"/>
  <c r="I684" i="3"/>
  <c r="J684" i="3"/>
  <c r="AD684" i="3" s="1"/>
  <c r="M684" i="3"/>
  <c r="N684" i="3" s="1"/>
  <c r="W684" i="3" l="1"/>
  <c r="L684" i="3"/>
  <c r="P685" i="3"/>
  <c r="Q685" i="3" s="1"/>
  <c r="R685" i="3" s="1"/>
  <c r="S685" i="3" s="1"/>
  <c r="Z685" i="3"/>
  <c r="AC685" i="3"/>
  <c r="AD685" i="3"/>
  <c r="AA685" i="3"/>
  <c r="U684" i="3" l="1"/>
  <c r="Y683" i="3"/>
  <c r="T685" i="3"/>
  <c r="AG685" i="3" s="1"/>
  <c r="D685" i="3" l="1"/>
  <c r="G685" i="3" s="1"/>
  <c r="E685" i="3"/>
  <c r="H685" i="3" s="1"/>
  <c r="AH685" i="3"/>
  <c r="F685" i="3" l="1"/>
  <c r="I685" i="3"/>
  <c r="J685" i="3"/>
  <c r="M685" i="3"/>
  <c r="N685" i="3" s="1"/>
  <c r="K685" i="3"/>
  <c r="AE685" i="3" s="1"/>
  <c r="V685" i="3" l="1"/>
  <c r="W685" i="3" s="1"/>
  <c r="A686" i="3"/>
  <c r="B686" i="3" s="1"/>
  <c r="L685" i="3"/>
  <c r="U685" i="3" l="1"/>
  <c r="Y684" i="3"/>
  <c r="AA686" i="3"/>
  <c r="AC686" i="3"/>
  <c r="AD686" i="3"/>
  <c r="P686" i="3"/>
  <c r="Q686" i="3" s="1"/>
  <c r="R686" i="3" s="1"/>
  <c r="S686" i="3" s="1"/>
  <c r="Z686" i="3"/>
  <c r="T686" i="3" l="1"/>
  <c r="D686" i="3" s="1"/>
  <c r="E686" i="3" l="1"/>
  <c r="H686" i="3" s="1"/>
  <c r="K686" i="3" s="1"/>
  <c r="AE686" i="3" s="1"/>
  <c r="AG686" i="3"/>
  <c r="AH686" i="3"/>
  <c r="G686" i="3"/>
  <c r="F686" i="3" l="1"/>
  <c r="V686" i="3"/>
  <c r="A687" i="3"/>
  <c r="B687" i="3" s="1"/>
  <c r="I686" i="3"/>
  <c r="J686" i="3"/>
  <c r="M686" i="3"/>
  <c r="N686" i="3" s="1"/>
  <c r="L686" i="3" l="1"/>
  <c r="W686" i="3"/>
  <c r="Z687" i="3"/>
  <c r="P687" i="3"/>
  <c r="Q687" i="3" s="1"/>
  <c r="R687" i="3" s="1"/>
  <c r="S687" i="3" s="1"/>
  <c r="AA687" i="3"/>
  <c r="AC687" i="3"/>
  <c r="U686" i="3" l="1"/>
  <c r="Y685" i="3"/>
  <c r="T687" i="3"/>
  <c r="AG687" i="3" s="1"/>
  <c r="AH687" i="3" l="1"/>
  <c r="D687" i="3"/>
  <c r="G687" i="3" s="1"/>
  <c r="E687" i="3"/>
  <c r="H687" i="3" s="1"/>
  <c r="K687" i="3" s="1"/>
  <c r="AE687" i="3" s="1"/>
  <c r="F687" i="3" l="1"/>
  <c r="I687" i="3"/>
  <c r="J687" i="3"/>
  <c r="AD687" i="3" s="1"/>
  <c r="M687" i="3"/>
  <c r="N687" i="3" s="1"/>
  <c r="V687" i="3"/>
  <c r="A688" i="3"/>
  <c r="B688" i="3" s="1"/>
  <c r="W687" i="3" l="1"/>
  <c r="L687" i="3"/>
  <c r="AC688" i="3"/>
  <c r="AA688" i="3"/>
  <c r="AD688" i="3"/>
  <c r="P688" i="3"/>
  <c r="Q688" i="3" s="1"/>
  <c r="R688" i="3" s="1"/>
  <c r="S688" i="3" s="1"/>
  <c r="Z688" i="3"/>
  <c r="U687" i="3" l="1"/>
  <c r="Y686" i="3"/>
  <c r="T688" i="3"/>
  <c r="AG688" i="3" s="1"/>
  <c r="E688" i="3" l="1"/>
  <c r="H688" i="3" s="1"/>
  <c r="K688" i="3" s="1"/>
  <c r="AE688" i="3" s="1"/>
  <c r="AH688" i="3"/>
  <c r="D688" i="3"/>
  <c r="F688" i="3" l="1"/>
  <c r="G688" i="3"/>
  <c r="V688" i="3"/>
  <c r="A689" i="3"/>
  <c r="B689" i="3" s="1"/>
  <c r="AA689" i="3" l="1"/>
  <c r="P689" i="3"/>
  <c r="Q689" i="3" s="1"/>
  <c r="R689" i="3" s="1"/>
  <c r="S689" i="3" s="1"/>
  <c r="Z689" i="3"/>
  <c r="AD689" i="3"/>
  <c r="AC689" i="3"/>
  <c r="I688" i="3"/>
  <c r="W688" i="3" s="1"/>
  <c r="J688" i="3"/>
  <c r="M688" i="3"/>
  <c r="N688" i="3" s="1"/>
  <c r="T689" i="3" l="1"/>
  <c r="L688" i="3"/>
  <c r="U688" i="3" l="1"/>
  <c r="D689" i="3" s="1"/>
  <c r="AG689" i="3"/>
  <c r="AH689" i="3"/>
  <c r="Y687" i="3"/>
  <c r="E689" i="3" l="1"/>
  <c r="H689" i="3" s="1"/>
  <c r="K689" i="3" s="1"/>
  <c r="AE689" i="3" s="1"/>
  <c r="G689" i="3"/>
  <c r="F689" i="3" l="1"/>
  <c r="I689" i="3"/>
  <c r="J689" i="3"/>
  <c r="M689" i="3"/>
  <c r="N689" i="3" s="1"/>
  <c r="V689" i="3"/>
  <c r="A690" i="3"/>
  <c r="B690" i="3" s="1"/>
  <c r="W689" i="3" l="1"/>
  <c r="L689" i="3"/>
  <c r="AA690" i="3"/>
  <c r="AC690" i="3"/>
  <c r="P690" i="3"/>
  <c r="Q690" i="3" s="1"/>
  <c r="R690" i="3" s="1"/>
  <c r="S690" i="3" s="1"/>
  <c r="AD690" i="3"/>
  <c r="Z690" i="3"/>
  <c r="U689" i="3" l="1"/>
  <c r="Y688" i="3"/>
  <c r="T690" i="3"/>
  <c r="AH690" i="3" s="1"/>
  <c r="D690" i="3" l="1"/>
  <c r="G690" i="3" s="1"/>
  <c r="E690" i="3"/>
  <c r="H690" i="3" s="1"/>
  <c r="K690" i="3" s="1"/>
  <c r="AE690" i="3" s="1"/>
  <c r="AG690" i="3"/>
  <c r="F690" i="3" l="1"/>
  <c r="I690" i="3"/>
  <c r="J690" i="3"/>
  <c r="M690" i="3"/>
  <c r="N690" i="3" s="1"/>
  <c r="V690" i="3"/>
  <c r="A691" i="3"/>
  <c r="B691" i="3" s="1"/>
  <c r="W690" i="3" l="1"/>
  <c r="L690" i="3"/>
  <c r="AA691" i="3"/>
  <c r="Z691" i="3"/>
  <c r="P691" i="3"/>
  <c r="Q691" i="3" s="1"/>
  <c r="R691" i="3" s="1"/>
  <c r="S691" i="3" s="1"/>
  <c r="AD691" i="3"/>
  <c r="AC691" i="3"/>
  <c r="T691" i="3" l="1"/>
  <c r="U690" i="3"/>
  <c r="Y689" i="3"/>
  <c r="D691" i="3" l="1"/>
  <c r="G691" i="3" s="1"/>
  <c r="AH691" i="3"/>
  <c r="E691" i="3"/>
  <c r="H691" i="3" s="1"/>
  <c r="AG691" i="3"/>
  <c r="F691" i="3" l="1"/>
  <c r="I691" i="3"/>
  <c r="J691" i="3"/>
  <c r="M691" i="3"/>
  <c r="N691" i="3" s="1"/>
  <c r="K691" i="3"/>
  <c r="AE691" i="3" s="1"/>
  <c r="V691" i="3" l="1"/>
  <c r="W691" i="3" s="1"/>
  <c r="A692" i="3"/>
  <c r="B692" i="3" s="1"/>
  <c r="L691" i="3"/>
  <c r="U691" i="3" l="1"/>
  <c r="Y690" i="3"/>
  <c r="AC692" i="3"/>
  <c r="AD692" i="3"/>
  <c r="AA692" i="3"/>
  <c r="Z692" i="3"/>
  <c r="P692" i="3"/>
  <c r="Q692" i="3" s="1"/>
  <c r="R692" i="3" s="1"/>
  <c r="S692" i="3" s="1"/>
  <c r="T692" i="3" l="1"/>
  <c r="E692" i="3" s="1"/>
  <c r="H692" i="3" s="1"/>
  <c r="D692" i="3" l="1"/>
  <c r="G692" i="3" s="1"/>
  <c r="AH692" i="3"/>
  <c r="K692" i="3"/>
  <c r="AE692" i="3" s="1"/>
  <c r="AG692" i="3"/>
  <c r="F692" i="3" l="1"/>
  <c r="I692" i="3"/>
  <c r="J692" i="3"/>
  <c r="M692" i="3"/>
  <c r="N692" i="3" s="1"/>
  <c r="V692" i="3"/>
  <c r="A693" i="3"/>
  <c r="B693" i="3" s="1"/>
  <c r="W692" i="3" l="1"/>
  <c r="L692" i="3"/>
  <c r="AC693" i="3"/>
  <c r="AA693" i="3"/>
  <c r="AD693" i="3"/>
  <c r="P693" i="3"/>
  <c r="Q693" i="3" s="1"/>
  <c r="R693" i="3" s="1"/>
  <c r="S693" i="3" s="1"/>
  <c r="Z693" i="3"/>
  <c r="U692" i="3" l="1"/>
  <c r="Y691" i="3"/>
  <c r="T693" i="3"/>
  <c r="AG693" i="3" s="1"/>
  <c r="D693" i="3" l="1"/>
  <c r="G693" i="3" s="1"/>
  <c r="E693" i="3"/>
  <c r="H693" i="3" s="1"/>
  <c r="K693" i="3" s="1"/>
  <c r="AE693" i="3" s="1"/>
  <c r="AH693" i="3"/>
  <c r="F693" i="3" l="1"/>
  <c r="V693" i="3"/>
  <c r="A694" i="3"/>
  <c r="B694" i="3" s="1"/>
  <c r="I693" i="3"/>
  <c r="J693" i="3"/>
  <c r="M693" i="3"/>
  <c r="N693" i="3" s="1"/>
  <c r="W693" i="3" l="1"/>
  <c r="L693" i="3"/>
  <c r="AA694" i="3"/>
  <c r="AC694" i="3"/>
  <c r="P694" i="3"/>
  <c r="Q694" i="3" s="1"/>
  <c r="R694" i="3" s="1"/>
  <c r="S694" i="3" s="1"/>
  <c r="Z694" i="3"/>
  <c r="U693" i="3" l="1"/>
  <c r="Y692" i="3"/>
  <c r="T694" i="3"/>
  <c r="AG694" i="3" s="1"/>
  <c r="E694" i="3" l="1"/>
  <c r="H694" i="3" s="1"/>
  <c r="K694" i="3" s="1"/>
  <c r="AE694" i="3" s="1"/>
  <c r="AH694" i="3"/>
  <c r="D694" i="3"/>
  <c r="G694" i="3" s="1"/>
  <c r="F694" i="3" l="1"/>
  <c r="I694" i="3"/>
  <c r="J694" i="3"/>
  <c r="AD694" i="3" s="1"/>
  <c r="M694" i="3"/>
  <c r="N694" i="3" s="1"/>
  <c r="V694" i="3"/>
  <c r="A695" i="3"/>
  <c r="B695" i="3" s="1"/>
  <c r="W694" i="3" l="1"/>
  <c r="L694" i="3"/>
  <c r="AD695" i="3"/>
  <c r="Z695" i="3"/>
  <c r="P695" i="3"/>
  <c r="Q695" i="3" s="1"/>
  <c r="R695" i="3" s="1"/>
  <c r="S695" i="3" s="1"/>
  <c r="AC695" i="3"/>
  <c r="AA695" i="3"/>
  <c r="U694" i="3" l="1"/>
  <c r="Y693" i="3"/>
  <c r="T695" i="3"/>
  <c r="E695" i="3" l="1"/>
  <c r="H695" i="3" s="1"/>
  <c r="K695" i="3" s="1"/>
  <c r="AE695" i="3" s="1"/>
  <c r="D695" i="3"/>
  <c r="AG695" i="3"/>
  <c r="AH695" i="3"/>
  <c r="V695" i="3" l="1"/>
  <c r="A696" i="3"/>
  <c r="B696" i="3" s="1"/>
  <c r="F695" i="3"/>
  <c r="G695" i="3"/>
  <c r="I695" i="3" l="1"/>
  <c r="W695" i="3" s="1"/>
  <c r="J695" i="3"/>
  <c r="M695" i="3"/>
  <c r="N695" i="3" s="1"/>
  <c r="AD696" i="3"/>
  <c r="AA696" i="3"/>
  <c r="Z696" i="3"/>
  <c r="P696" i="3"/>
  <c r="Q696" i="3" s="1"/>
  <c r="R696" i="3" s="1"/>
  <c r="S696" i="3" s="1"/>
  <c r="AC696" i="3"/>
  <c r="T696" i="3" l="1"/>
  <c r="L695" i="3"/>
  <c r="AH696" i="3" l="1"/>
  <c r="U695" i="3"/>
  <c r="D696" i="3" s="1"/>
  <c r="AG696" i="3"/>
  <c r="Y694" i="3"/>
  <c r="E696" i="3" l="1"/>
  <c r="H696" i="3" s="1"/>
  <c r="K696" i="3" s="1"/>
  <c r="AE696" i="3" s="1"/>
  <c r="G696" i="3"/>
  <c r="F696" i="3" l="1"/>
  <c r="V696" i="3"/>
  <c r="A697" i="3"/>
  <c r="B697" i="3" s="1"/>
  <c r="I696" i="3"/>
  <c r="J696" i="3"/>
  <c r="M696" i="3"/>
  <c r="N696" i="3" s="1"/>
  <c r="W696" i="3" l="1"/>
  <c r="P697" i="3"/>
  <c r="Q697" i="3" s="1"/>
  <c r="R697" i="3" s="1"/>
  <c r="S697" i="3" s="1"/>
  <c r="Z697" i="3"/>
  <c r="AA697" i="3"/>
  <c r="AC697" i="3"/>
  <c r="L696" i="3"/>
  <c r="U696" i="3" l="1"/>
  <c r="Y695" i="3"/>
  <c r="T697" i="3"/>
  <c r="E697" i="3" l="1"/>
  <c r="H697" i="3" s="1"/>
  <c r="K697" i="3" s="1"/>
  <c r="AE697" i="3" s="1"/>
  <c r="D697" i="3"/>
  <c r="AH697" i="3"/>
  <c r="AG697" i="3"/>
  <c r="F697" i="3" l="1"/>
  <c r="G697" i="3"/>
  <c r="M697" i="3" s="1"/>
  <c r="N697" i="3" s="1"/>
  <c r="V697" i="3"/>
  <c r="A698" i="3"/>
  <c r="B698" i="3" s="1"/>
  <c r="I697" i="3" l="1"/>
  <c r="W697" i="3" s="1"/>
  <c r="J697" i="3"/>
  <c r="AD698" i="3"/>
  <c r="AA698" i="3"/>
  <c r="Z698" i="3"/>
  <c r="AC698" i="3"/>
  <c r="P698" i="3"/>
  <c r="Q698" i="3" s="1"/>
  <c r="R698" i="3" s="1"/>
  <c r="S698" i="3" s="1"/>
  <c r="L697" i="3" l="1"/>
  <c r="U697" i="3" s="1"/>
  <c r="AD697" i="3"/>
  <c r="T698" i="3"/>
  <c r="AG698" i="3" l="1"/>
  <c r="Y696" i="3"/>
  <c r="E698" i="3"/>
  <c r="H698" i="3" s="1"/>
  <c r="K698" i="3" s="1"/>
  <c r="AE698" i="3" s="1"/>
  <c r="AH698" i="3"/>
  <c r="D698" i="3"/>
  <c r="F698" i="3" l="1"/>
  <c r="G698" i="3"/>
  <c r="J698" i="3" s="1"/>
  <c r="V698" i="3"/>
  <c r="A699" i="3"/>
  <c r="B699" i="3" s="1"/>
  <c r="M698" i="3" l="1"/>
  <c r="N698" i="3" s="1"/>
  <c r="I698" i="3"/>
  <c r="W698" i="3" s="1"/>
  <c r="L698" i="3"/>
  <c r="Z699" i="3"/>
  <c r="P699" i="3"/>
  <c r="Q699" i="3" s="1"/>
  <c r="R699" i="3" s="1"/>
  <c r="S699" i="3" s="1"/>
  <c r="AA699" i="3"/>
  <c r="AD699" i="3"/>
  <c r="AC699" i="3"/>
  <c r="T699" i="3" l="1"/>
  <c r="U698" i="3"/>
  <c r="Y697" i="3"/>
  <c r="D699" i="3" l="1"/>
  <c r="G699" i="3" s="1"/>
  <c r="AG699" i="3"/>
  <c r="AH699" i="3"/>
  <c r="E699" i="3"/>
  <c r="H699" i="3" s="1"/>
  <c r="K699" i="3" l="1"/>
  <c r="AE699" i="3" s="1"/>
  <c r="I699" i="3"/>
  <c r="J699" i="3"/>
  <c r="M699" i="3"/>
  <c r="N699" i="3" s="1"/>
  <c r="F699" i="3"/>
  <c r="L699" i="3" l="1"/>
  <c r="V699" i="3"/>
  <c r="W699" i="3" s="1"/>
  <c r="A700" i="3"/>
  <c r="B700" i="3" s="1"/>
  <c r="U699" i="3" l="1"/>
  <c r="Y698" i="3"/>
  <c r="Z700" i="3"/>
  <c r="P700" i="3"/>
  <c r="Q700" i="3" s="1"/>
  <c r="R700" i="3" s="1"/>
  <c r="S700" i="3" s="1"/>
  <c r="AD700" i="3"/>
  <c r="AC700" i="3"/>
  <c r="AA700" i="3"/>
  <c r="T700" i="3" l="1"/>
  <c r="D700" i="3" s="1"/>
  <c r="AH700" i="3" l="1"/>
  <c r="AG700" i="3"/>
  <c r="E700" i="3"/>
  <c r="H700" i="3" s="1"/>
  <c r="K700" i="3" s="1"/>
  <c r="AE700" i="3" s="1"/>
  <c r="G700" i="3"/>
  <c r="F700" i="3" l="1"/>
  <c r="I700" i="3"/>
  <c r="J700" i="3"/>
  <c r="M700" i="3"/>
  <c r="N700" i="3" s="1"/>
  <c r="V700" i="3"/>
  <c r="A701" i="3"/>
  <c r="B701" i="3" s="1"/>
  <c r="W700" i="3" l="1"/>
  <c r="L700" i="3"/>
  <c r="AC701" i="3"/>
  <c r="AA701" i="3"/>
  <c r="Z701" i="3"/>
  <c r="P701" i="3"/>
  <c r="Q701" i="3" s="1"/>
  <c r="R701" i="3" s="1"/>
  <c r="S701" i="3" s="1"/>
  <c r="AD701" i="3"/>
  <c r="U700" i="3" l="1"/>
  <c r="Y699" i="3"/>
  <c r="T701" i="3"/>
  <c r="AG701" i="3" s="1"/>
  <c r="AH701" i="3" l="1"/>
  <c r="E701" i="3"/>
  <c r="H701" i="3" s="1"/>
  <c r="D701" i="3"/>
  <c r="F701" i="3" l="1"/>
  <c r="G701" i="3"/>
  <c r="K701" i="3"/>
  <c r="AE701" i="3" s="1"/>
  <c r="I701" i="3" l="1"/>
  <c r="J701" i="3"/>
  <c r="M701" i="3"/>
  <c r="N701" i="3" s="1"/>
  <c r="V701" i="3"/>
  <c r="A702" i="3"/>
  <c r="B702" i="3" s="1"/>
  <c r="W701" i="3" l="1"/>
  <c r="L701" i="3"/>
  <c r="AC702" i="3"/>
  <c r="AD702" i="3"/>
  <c r="P702" i="3"/>
  <c r="Q702" i="3" s="1"/>
  <c r="R702" i="3" s="1"/>
  <c r="S702" i="3" s="1"/>
  <c r="Z702" i="3"/>
  <c r="AA702" i="3"/>
  <c r="U701" i="3" l="1"/>
  <c r="Y700" i="3"/>
  <c r="T702" i="3"/>
  <c r="AH702" i="3" s="1"/>
  <c r="D702" i="3" l="1"/>
  <c r="G702" i="3" s="1"/>
  <c r="E702" i="3"/>
  <c r="H702" i="3" s="1"/>
  <c r="K702" i="3" s="1"/>
  <c r="AE702" i="3" s="1"/>
  <c r="AG702" i="3"/>
  <c r="F702" i="3" l="1"/>
  <c r="V702" i="3"/>
  <c r="A703" i="3"/>
  <c r="B703" i="3" s="1"/>
  <c r="I702" i="3"/>
  <c r="J702" i="3"/>
  <c r="M702" i="3"/>
  <c r="N702" i="3" s="1"/>
  <c r="W702" i="3" l="1"/>
  <c r="L702" i="3"/>
  <c r="AC703" i="3"/>
  <c r="P703" i="3"/>
  <c r="Q703" i="3" s="1"/>
  <c r="R703" i="3" s="1"/>
  <c r="S703" i="3" s="1"/>
  <c r="AA703" i="3"/>
  <c r="Z703" i="3"/>
  <c r="T703" i="3" l="1"/>
  <c r="AH703" i="3" s="1"/>
  <c r="U702" i="3"/>
  <c r="Y701" i="3"/>
  <c r="E703" i="3" l="1"/>
  <c r="H703" i="3" s="1"/>
  <c r="K703" i="3" s="1"/>
  <c r="AE703" i="3" s="1"/>
  <c r="AG703" i="3"/>
  <c r="D703" i="3"/>
  <c r="F703" i="3" l="1"/>
  <c r="G703" i="3"/>
  <c r="V703" i="3"/>
  <c r="A704" i="3"/>
  <c r="B704" i="3" s="1"/>
  <c r="P704" i="3" l="1"/>
  <c r="Q704" i="3" s="1"/>
  <c r="R704" i="3" s="1"/>
  <c r="S704" i="3" s="1"/>
  <c r="AC704" i="3"/>
  <c r="Z704" i="3"/>
  <c r="AA704" i="3"/>
  <c r="I703" i="3"/>
  <c r="W703" i="3" s="1"/>
  <c r="J703" i="3"/>
  <c r="AD703" i="3" s="1"/>
  <c r="M703" i="3"/>
  <c r="N703" i="3" s="1"/>
  <c r="T704" i="3" l="1"/>
  <c r="L703" i="3"/>
  <c r="U703" i="3" l="1"/>
  <c r="D704" i="3" s="1"/>
  <c r="AG704" i="3"/>
  <c r="AH704" i="3"/>
  <c r="Y702" i="3"/>
  <c r="G704" i="3" l="1"/>
  <c r="E704" i="3"/>
  <c r="H704" i="3" s="1"/>
  <c r="F704" i="3" l="1"/>
  <c r="I704" i="3"/>
  <c r="J704" i="3"/>
  <c r="AD704" i="3" s="1"/>
  <c r="M704" i="3"/>
  <c r="N704" i="3" s="1"/>
  <c r="K704" i="3"/>
  <c r="AE704" i="3" s="1"/>
  <c r="V704" i="3" l="1"/>
  <c r="W704" i="3" s="1"/>
  <c r="A705" i="3"/>
  <c r="B705" i="3" s="1"/>
  <c r="L704" i="3"/>
  <c r="U704" i="3" l="1"/>
  <c r="Y703" i="3"/>
  <c r="Z705" i="3"/>
  <c r="P705" i="3"/>
  <c r="Q705" i="3" s="1"/>
  <c r="R705" i="3" s="1"/>
  <c r="S705" i="3" s="1"/>
  <c r="AC705" i="3"/>
  <c r="AA705" i="3"/>
  <c r="T705" i="3" l="1"/>
  <c r="AH705" i="3" s="1"/>
  <c r="AG705" i="3" l="1"/>
  <c r="D705" i="3"/>
  <c r="E705" i="3"/>
  <c r="H705" i="3" s="1"/>
  <c r="F705" i="3" l="1"/>
  <c r="G705" i="3"/>
  <c r="K705" i="3"/>
  <c r="AE705" i="3" s="1"/>
  <c r="I705" i="3" l="1"/>
  <c r="J705" i="3"/>
  <c r="AD705" i="3" s="1"/>
  <c r="M705" i="3"/>
  <c r="N705" i="3" s="1"/>
  <c r="V705" i="3"/>
  <c r="A706" i="3"/>
  <c r="B706" i="3" s="1"/>
  <c r="W705" i="3" l="1"/>
  <c r="L705" i="3"/>
  <c r="P706" i="3"/>
  <c r="Q706" i="3" s="1"/>
  <c r="R706" i="3" s="1"/>
  <c r="S706" i="3" s="1"/>
  <c r="AA706" i="3"/>
  <c r="AC706" i="3"/>
  <c r="Z706" i="3"/>
  <c r="U705" i="3" l="1"/>
  <c r="Y704" i="3"/>
  <c r="T706" i="3"/>
  <c r="AH706" i="3" s="1"/>
  <c r="E706" i="3" l="1"/>
  <c r="H706" i="3" s="1"/>
  <c r="D706" i="3"/>
  <c r="AG706" i="3"/>
  <c r="K706" i="3" l="1"/>
  <c r="AE706" i="3" s="1"/>
  <c r="F706" i="3"/>
  <c r="G706" i="3"/>
  <c r="I706" i="3" l="1"/>
  <c r="J706" i="3"/>
  <c r="AD706" i="3" s="1"/>
  <c r="M706" i="3"/>
  <c r="N706" i="3" s="1"/>
  <c r="V706" i="3"/>
  <c r="A707" i="3"/>
  <c r="B707" i="3" s="1"/>
  <c r="W706" i="3" l="1"/>
  <c r="P707" i="3"/>
  <c r="Q707" i="3" s="1"/>
  <c r="R707" i="3" s="1"/>
  <c r="S707" i="3" s="1"/>
  <c r="Z707" i="3"/>
  <c r="AC707" i="3"/>
  <c r="AA707" i="3"/>
  <c r="L706" i="3"/>
  <c r="T707" i="3" l="1"/>
  <c r="AG707" i="3" s="1"/>
  <c r="U706" i="3"/>
  <c r="Y705" i="3"/>
  <c r="E707" i="3" l="1"/>
  <c r="H707" i="3" s="1"/>
  <c r="K707" i="3" s="1"/>
  <c r="AE707" i="3" s="1"/>
  <c r="D707" i="3"/>
  <c r="AH707" i="3"/>
  <c r="V707" i="3" l="1"/>
  <c r="A708" i="3"/>
  <c r="B708" i="3" s="1"/>
  <c r="F707" i="3"/>
  <c r="G707" i="3"/>
  <c r="I707" i="3" l="1"/>
  <c r="W707" i="3" s="1"/>
  <c r="J707" i="3"/>
  <c r="AD707" i="3" s="1"/>
  <c r="M707" i="3"/>
  <c r="N707" i="3" s="1"/>
  <c r="P708" i="3"/>
  <c r="Q708" i="3" s="1"/>
  <c r="R708" i="3" s="1"/>
  <c r="S708" i="3" s="1"/>
  <c r="AC708" i="3"/>
  <c r="Z708" i="3"/>
  <c r="AA708" i="3"/>
  <c r="T708" i="3" l="1"/>
  <c r="L707" i="3"/>
  <c r="U707" i="3" l="1"/>
  <c r="D708" i="3" s="1"/>
  <c r="AG708" i="3"/>
  <c r="AH708" i="3"/>
  <c r="Y706" i="3"/>
  <c r="E708" i="3" l="1"/>
  <c r="H708" i="3" s="1"/>
  <c r="K708" i="3" s="1"/>
  <c r="AE708" i="3" s="1"/>
  <c r="G708" i="3"/>
  <c r="F708" i="3" l="1"/>
  <c r="I708" i="3"/>
  <c r="J708" i="3"/>
  <c r="AD708" i="3" s="1"/>
  <c r="M708" i="3"/>
  <c r="N708" i="3" s="1"/>
  <c r="V708" i="3"/>
  <c r="A709" i="3"/>
  <c r="B709" i="3" s="1"/>
  <c r="W708" i="3" l="1"/>
  <c r="L708" i="3"/>
  <c r="Z709" i="3"/>
  <c r="AA709" i="3"/>
  <c r="P709" i="3"/>
  <c r="Q709" i="3" s="1"/>
  <c r="R709" i="3" s="1"/>
  <c r="S709" i="3" s="1"/>
  <c r="AC709" i="3"/>
  <c r="U708" i="3" l="1"/>
  <c r="Y707" i="3"/>
  <c r="T709" i="3"/>
  <c r="AG709" i="3" s="1"/>
  <c r="AH709" i="3" l="1"/>
  <c r="E709" i="3"/>
  <c r="H709" i="3" s="1"/>
  <c r="D709" i="3"/>
  <c r="F709" i="3" l="1"/>
  <c r="G709" i="3"/>
  <c r="K709" i="3"/>
  <c r="AE709" i="3" s="1"/>
  <c r="V709" i="3" l="1"/>
  <c r="A710" i="3"/>
  <c r="B710" i="3" s="1"/>
  <c r="I709" i="3"/>
  <c r="J709" i="3"/>
  <c r="AD709" i="3" s="1"/>
  <c r="M709" i="3"/>
  <c r="N709" i="3" s="1"/>
  <c r="W709" i="3" l="1"/>
  <c r="L709" i="3"/>
  <c r="AC710" i="3"/>
  <c r="Z710" i="3"/>
  <c r="AA710" i="3"/>
  <c r="P710" i="3"/>
  <c r="Q710" i="3" s="1"/>
  <c r="R710" i="3" s="1"/>
  <c r="S710" i="3" s="1"/>
  <c r="U709" i="3" l="1"/>
  <c r="Y708" i="3"/>
  <c r="T710" i="3"/>
  <c r="AH710" i="3" s="1"/>
  <c r="D710" i="3" l="1"/>
  <c r="E710" i="3"/>
  <c r="H710" i="3" s="1"/>
  <c r="AG710" i="3"/>
  <c r="F710" i="3" l="1"/>
  <c r="G710" i="3"/>
  <c r="K710" i="3"/>
  <c r="AE710" i="3" s="1"/>
  <c r="I710" i="3" l="1"/>
  <c r="J710" i="3"/>
  <c r="AD710" i="3" s="1"/>
  <c r="M710" i="3"/>
  <c r="N710" i="3" s="1"/>
  <c r="V710" i="3"/>
  <c r="A711" i="3"/>
  <c r="B711" i="3" s="1"/>
  <c r="W710" i="3" l="1"/>
  <c r="L710" i="3"/>
  <c r="AA711" i="3"/>
  <c r="AC711" i="3"/>
  <c r="Z711" i="3"/>
  <c r="P711" i="3"/>
  <c r="Q711" i="3" s="1"/>
  <c r="R711" i="3" s="1"/>
  <c r="S711" i="3" s="1"/>
  <c r="T711" i="3" l="1"/>
  <c r="U710" i="3"/>
  <c r="Y709" i="3"/>
  <c r="D711" i="3" l="1"/>
  <c r="G711" i="3" s="1"/>
  <c r="E711" i="3"/>
  <c r="H711" i="3" s="1"/>
  <c r="AH711" i="3"/>
  <c r="AG711" i="3"/>
  <c r="F711" i="3" l="1"/>
  <c r="K711" i="3"/>
  <c r="AE711" i="3" s="1"/>
  <c r="I711" i="3"/>
  <c r="J711" i="3"/>
  <c r="AD711" i="3" s="1"/>
  <c r="M711" i="3"/>
  <c r="N711" i="3" s="1"/>
  <c r="L711" i="3" l="1"/>
  <c r="V711" i="3"/>
  <c r="W711" i="3" s="1"/>
  <c r="A712" i="3"/>
  <c r="B712" i="3" s="1"/>
  <c r="AC712" i="3" l="1"/>
  <c r="P712" i="3"/>
  <c r="Q712" i="3" s="1"/>
  <c r="R712" i="3" s="1"/>
  <c r="S712" i="3" s="1"/>
  <c r="AA712" i="3"/>
  <c r="Z712" i="3"/>
  <c r="U711" i="3"/>
  <c r="Y710" i="3"/>
  <c r="T712" i="3" l="1"/>
  <c r="AG712" i="3" l="1"/>
  <c r="D712" i="3"/>
  <c r="E712" i="3"/>
  <c r="H712" i="3" s="1"/>
  <c r="AH712" i="3"/>
  <c r="K712" i="3" l="1"/>
  <c r="AE712" i="3" s="1"/>
  <c r="F712" i="3"/>
  <c r="G712" i="3"/>
  <c r="V712" i="3" l="1"/>
  <c r="A713" i="3"/>
  <c r="B713" i="3" s="1"/>
  <c r="I712" i="3"/>
  <c r="J712" i="3"/>
  <c r="AD712" i="3" s="1"/>
  <c r="M712" i="3"/>
  <c r="N712" i="3" s="1"/>
  <c r="W712" i="3" l="1"/>
  <c r="L712" i="3"/>
  <c r="Z713" i="3"/>
  <c r="P713" i="3"/>
  <c r="Q713" i="3" s="1"/>
  <c r="R713" i="3" s="1"/>
  <c r="S713" i="3" s="1"/>
  <c r="AC713" i="3"/>
  <c r="AA713" i="3"/>
  <c r="T713" i="3" l="1"/>
  <c r="AH713" i="3" s="1"/>
  <c r="U712" i="3"/>
  <c r="Y711" i="3"/>
  <c r="D713" i="3" l="1"/>
  <c r="AG713" i="3"/>
  <c r="E713" i="3"/>
  <c r="H713" i="3" s="1"/>
  <c r="F713" i="3" l="1"/>
  <c r="G713" i="3"/>
  <c r="M713" i="3" s="1"/>
  <c r="N713" i="3" s="1"/>
  <c r="K713" i="3"/>
  <c r="AE713" i="3" s="1"/>
  <c r="I713" i="3" l="1"/>
  <c r="J713" i="3"/>
  <c r="V713" i="3"/>
  <c r="A714" i="3"/>
  <c r="B714" i="3" s="1"/>
  <c r="L713" i="3" l="1"/>
  <c r="Y712" i="3" s="1"/>
  <c r="AD713" i="3"/>
  <c r="W713" i="3"/>
  <c r="AA714" i="3"/>
  <c r="P714" i="3"/>
  <c r="Q714" i="3" s="1"/>
  <c r="R714" i="3" s="1"/>
  <c r="S714" i="3" s="1"/>
  <c r="Z714" i="3"/>
  <c r="AC714" i="3"/>
  <c r="U713" i="3" l="1"/>
  <c r="T714" i="3"/>
  <c r="AH714" i="3" s="1"/>
  <c r="D714" i="3" l="1"/>
  <c r="G714" i="3" s="1"/>
  <c r="E714" i="3"/>
  <c r="H714" i="3" s="1"/>
  <c r="K714" i="3" s="1"/>
  <c r="AE714" i="3" s="1"/>
  <c r="AG714" i="3"/>
  <c r="F714" i="3" l="1"/>
  <c r="V714" i="3"/>
  <c r="A715" i="3"/>
  <c r="B715" i="3" s="1"/>
  <c r="I714" i="3"/>
  <c r="J714" i="3"/>
  <c r="AD714" i="3" s="1"/>
  <c r="M714" i="3"/>
  <c r="N714" i="3" s="1"/>
  <c r="L714" i="3" l="1"/>
  <c r="W714" i="3"/>
  <c r="AC715" i="3"/>
  <c r="P715" i="3"/>
  <c r="Q715" i="3" s="1"/>
  <c r="R715" i="3" s="1"/>
  <c r="S715" i="3" s="1"/>
  <c r="Z715" i="3"/>
  <c r="AA715" i="3"/>
  <c r="U714" i="3" l="1"/>
  <c r="Y713" i="3"/>
  <c r="T715" i="3"/>
  <c r="AG715" i="3" s="1"/>
  <c r="AH715" i="3" l="1"/>
  <c r="D715" i="3"/>
  <c r="G715" i="3" s="1"/>
  <c r="E715" i="3"/>
  <c r="H715" i="3" s="1"/>
  <c r="F715" i="3" l="1"/>
  <c r="I715" i="3"/>
  <c r="J715" i="3"/>
  <c r="AD715" i="3" s="1"/>
  <c r="M715" i="3"/>
  <c r="N715" i="3" s="1"/>
  <c r="K715" i="3"/>
  <c r="AE715" i="3" s="1"/>
  <c r="V715" i="3" l="1"/>
  <c r="W715" i="3" s="1"/>
  <c r="A716" i="3"/>
  <c r="B716" i="3" s="1"/>
  <c r="L715" i="3"/>
  <c r="U715" i="3" l="1"/>
  <c r="Y714" i="3"/>
  <c r="AC716" i="3"/>
  <c r="Z716" i="3"/>
  <c r="P716" i="3"/>
  <c r="Q716" i="3" s="1"/>
  <c r="R716" i="3" s="1"/>
  <c r="S716" i="3" s="1"/>
  <c r="AA716" i="3"/>
  <c r="T716" i="3" l="1"/>
  <c r="D716" i="3" s="1"/>
  <c r="E716" i="3" l="1"/>
  <c r="H716" i="3" s="1"/>
  <c r="K716" i="3" s="1"/>
  <c r="AE716" i="3" s="1"/>
  <c r="AH716" i="3"/>
  <c r="AG716" i="3"/>
  <c r="G716" i="3"/>
  <c r="F716" i="3" l="1"/>
  <c r="I716" i="3"/>
  <c r="J716" i="3"/>
  <c r="AD716" i="3" s="1"/>
  <c r="M716" i="3"/>
  <c r="N716" i="3" s="1"/>
  <c r="V716" i="3"/>
  <c r="A717" i="3"/>
  <c r="B717" i="3" s="1"/>
  <c r="W716" i="3" l="1"/>
  <c r="L716" i="3"/>
  <c r="AC717" i="3"/>
  <c r="P717" i="3"/>
  <c r="Q717" i="3" s="1"/>
  <c r="R717" i="3" s="1"/>
  <c r="S717" i="3" s="1"/>
  <c r="Z717" i="3"/>
  <c r="AA717" i="3"/>
  <c r="U716" i="3" l="1"/>
  <c r="Y715" i="3"/>
  <c r="T717" i="3"/>
  <c r="AG717" i="3" s="1"/>
  <c r="E717" i="3" l="1"/>
  <c r="H717" i="3" s="1"/>
  <c r="K717" i="3" s="1"/>
  <c r="AE717" i="3" s="1"/>
  <c r="AH717" i="3"/>
  <c r="D717" i="3"/>
  <c r="V717" i="3" l="1"/>
  <c r="A718" i="3"/>
  <c r="B718" i="3" s="1"/>
  <c r="F717" i="3"/>
  <c r="G717" i="3"/>
  <c r="I717" i="3" l="1"/>
  <c r="W717" i="3" s="1"/>
  <c r="J717" i="3"/>
  <c r="AD717" i="3" s="1"/>
  <c r="M717" i="3"/>
  <c r="N717" i="3" s="1"/>
  <c r="P718" i="3"/>
  <c r="Q718" i="3" s="1"/>
  <c r="R718" i="3" s="1"/>
  <c r="S718" i="3" s="1"/>
  <c r="AC718" i="3"/>
  <c r="Z718" i="3"/>
  <c r="AA718" i="3"/>
  <c r="L717" i="3" l="1"/>
  <c r="T718" i="3"/>
  <c r="U717" i="3" l="1"/>
  <c r="E718" i="3" s="1"/>
  <c r="H718" i="3" s="1"/>
  <c r="AH718" i="3"/>
  <c r="AG718" i="3"/>
  <c r="Y716" i="3"/>
  <c r="K718" i="3" l="1"/>
  <c r="AE718" i="3" s="1"/>
  <c r="D718" i="3"/>
  <c r="V718" i="3" l="1"/>
  <c r="A719" i="3"/>
  <c r="B719" i="3" s="1"/>
  <c r="F718" i="3"/>
  <c r="G718" i="3"/>
  <c r="I718" i="3" l="1"/>
  <c r="W718" i="3" s="1"/>
  <c r="J718" i="3"/>
  <c r="AD718" i="3" s="1"/>
  <c r="M718" i="3"/>
  <c r="N718" i="3" s="1"/>
  <c r="Z719" i="3"/>
  <c r="P719" i="3"/>
  <c r="Q719" i="3" s="1"/>
  <c r="R719" i="3" s="1"/>
  <c r="S719" i="3" s="1"/>
  <c r="AA719" i="3"/>
  <c r="AC719" i="3"/>
  <c r="T719" i="3" l="1"/>
  <c r="L718" i="3"/>
  <c r="AG719" i="3" l="1"/>
  <c r="AH719" i="3"/>
  <c r="U718" i="3"/>
  <c r="E719" i="3" s="1"/>
  <c r="H719" i="3" s="1"/>
  <c r="Y717" i="3"/>
  <c r="D719" i="3" l="1"/>
  <c r="G719" i="3" s="1"/>
  <c r="K719" i="3"/>
  <c r="AE719" i="3" s="1"/>
  <c r="F719" i="3" l="1"/>
  <c r="I719" i="3"/>
  <c r="J719" i="3"/>
  <c r="AD719" i="3" s="1"/>
  <c r="M719" i="3"/>
  <c r="N719" i="3" s="1"/>
  <c r="V719" i="3"/>
  <c r="A720" i="3"/>
  <c r="B720" i="3" s="1"/>
  <c r="W719" i="3" l="1"/>
  <c r="L719" i="3"/>
  <c r="P720" i="3"/>
  <c r="Q720" i="3" s="1"/>
  <c r="R720" i="3" s="1"/>
  <c r="S720" i="3" s="1"/>
  <c r="AA720" i="3"/>
  <c r="AC720" i="3"/>
  <c r="Z720" i="3"/>
  <c r="U719" i="3" l="1"/>
  <c r="Y718" i="3"/>
  <c r="T720" i="3"/>
  <c r="AG720" i="3" s="1"/>
  <c r="E720" i="3" l="1"/>
  <c r="H720" i="3" s="1"/>
  <c r="K720" i="3" s="1"/>
  <c r="AE720" i="3" s="1"/>
  <c r="D720" i="3"/>
  <c r="AH720" i="3"/>
  <c r="V720" i="3" l="1"/>
  <c r="A721" i="3"/>
  <c r="B721" i="3" s="1"/>
  <c r="F720" i="3"/>
  <c r="G720" i="3"/>
  <c r="I720" i="3" l="1"/>
  <c r="W720" i="3" s="1"/>
  <c r="J720" i="3"/>
  <c r="AD720" i="3" s="1"/>
  <c r="M720" i="3"/>
  <c r="N720" i="3" s="1"/>
  <c r="AA721" i="3"/>
  <c r="Z721" i="3"/>
  <c r="AC721" i="3"/>
  <c r="P721" i="3"/>
  <c r="Q721" i="3" s="1"/>
  <c r="R721" i="3" s="1"/>
  <c r="S721" i="3" s="1"/>
  <c r="T721" i="3" l="1"/>
  <c r="L720" i="3"/>
  <c r="AG721" i="3" l="1"/>
  <c r="U720" i="3"/>
  <c r="D721" i="3" s="1"/>
  <c r="AH721" i="3"/>
  <c r="Y719" i="3"/>
  <c r="G721" i="3" l="1"/>
  <c r="E721" i="3"/>
  <c r="H721" i="3" s="1"/>
  <c r="F721" i="3" l="1"/>
  <c r="I721" i="3"/>
  <c r="J721" i="3"/>
  <c r="AD721" i="3" s="1"/>
  <c r="M721" i="3"/>
  <c r="N721" i="3" s="1"/>
  <c r="K721" i="3"/>
  <c r="AE721" i="3" s="1"/>
  <c r="V721" i="3" l="1"/>
  <c r="W721" i="3" s="1"/>
  <c r="A722" i="3"/>
  <c r="B722" i="3" s="1"/>
  <c r="L721" i="3"/>
  <c r="U721" i="3" l="1"/>
  <c r="Y720" i="3"/>
  <c r="AA722" i="3"/>
  <c r="AC722" i="3"/>
  <c r="P722" i="3"/>
  <c r="Q722" i="3" s="1"/>
  <c r="R722" i="3" s="1"/>
  <c r="S722" i="3" s="1"/>
  <c r="Z722" i="3"/>
  <c r="T722" i="3" l="1"/>
  <c r="AH722" i="3" s="1"/>
  <c r="E722" i="3" l="1"/>
  <c r="H722" i="3" s="1"/>
  <c r="K722" i="3" s="1"/>
  <c r="AE722" i="3" s="1"/>
  <c r="D722" i="3"/>
  <c r="AG722" i="3"/>
  <c r="V722" i="3" l="1"/>
  <c r="A723" i="3"/>
  <c r="B723" i="3" s="1"/>
  <c r="F722" i="3"/>
  <c r="G722" i="3"/>
  <c r="I722" i="3" l="1"/>
  <c r="W722" i="3" s="1"/>
  <c r="J722" i="3"/>
  <c r="AD722" i="3" s="1"/>
  <c r="M722" i="3"/>
  <c r="N722" i="3" s="1"/>
  <c r="Z723" i="3"/>
  <c r="AA723" i="3"/>
  <c r="AC723" i="3"/>
  <c r="P723" i="3"/>
  <c r="Q723" i="3" s="1"/>
  <c r="R723" i="3" s="1"/>
  <c r="S723" i="3" s="1"/>
  <c r="AD723" i="3"/>
  <c r="T723" i="3" l="1"/>
  <c r="L722" i="3"/>
  <c r="U722" i="3" l="1"/>
  <c r="E723" i="3" s="1"/>
  <c r="H723" i="3" s="1"/>
  <c r="AG723" i="3"/>
  <c r="AH723" i="3"/>
  <c r="Y721" i="3"/>
  <c r="D723" i="3" l="1"/>
  <c r="G723" i="3" s="1"/>
  <c r="K723" i="3"/>
  <c r="AE723" i="3" s="1"/>
  <c r="F723" i="3" l="1"/>
  <c r="V723" i="3"/>
  <c r="A724" i="3"/>
  <c r="B724" i="3" s="1"/>
  <c r="I723" i="3"/>
  <c r="J723" i="3"/>
  <c r="M723" i="3"/>
  <c r="N723" i="3" s="1"/>
  <c r="W723" i="3" l="1"/>
  <c r="L723" i="3"/>
  <c r="AA724" i="3"/>
  <c r="Z724" i="3"/>
  <c r="AC724" i="3"/>
  <c r="P724" i="3"/>
  <c r="Q724" i="3" s="1"/>
  <c r="R724" i="3" s="1"/>
  <c r="S724" i="3" s="1"/>
  <c r="T724" i="3" l="1"/>
  <c r="AH724" i="3" s="1"/>
  <c r="U723" i="3"/>
  <c r="Y722" i="3"/>
  <c r="D724" i="3" l="1"/>
  <c r="E724" i="3"/>
  <c r="H724" i="3" s="1"/>
  <c r="AG724" i="3"/>
  <c r="K724" i="3" l="1"/>
  <c r="AE724" i="3" s="1"/>
  <c r="F724" i="3"/>
  <c r="G724" i="3"/>
  <c r="I724" i="3" l="1"/>
  <c r="J724" i="3"/>
  <c r="AD724" i="3" s="1"/>
  <c r="M724" i="3"/>
  <c r="N724" i="3" s="1"/>
  <c r="V724" i="3"/>
  <c r="A725" i="3"/>
  <c r="B725" i="3" s="1"/>
  <c r="W724" i="3" l="1"/>
  <c r="L724" i="3"/>
  <c r="AC725" i="3"/>
  <c r="P725" i="3"/>
  <c r="Q725" i="3" s="1"/>
  <c r="R725" i="3" s="1"/>
  <c r="S725" i="3" s="1"/>
  <c r="Z725" i="3"/>
  <c r="AA725" i="3"/>
  <c r="AD725" i="3"/>
  <c r="U724" i="3" l="1"/>
  <c r="Y723" i="3"/>
  <c r="T725" i="3"/>
  <c r="AG725" i="3" s="1"/>
  <c r="AH725" i="3" l="1"/>
  <c r="D725" i="3"/>
  <c r="G725" i="3" s="1"/>
  <c r="E725" i="3"/>
  <c r="H725" i="3" s="1"/>
  <c r="F725" i="3" l="1"/>
  <c r="I725" i="3"/>
  <c r="J725" i="3"/>
  <c r="M725" i="3"/>
  <c r="N725" i="3" s="1"/>
  <c r="K725" i="3"/>
  <c r="AE725" i="3" s="1"/>
  <c r="V725" i="3" l="1"/>
  <c r="W725" i="3" s="1"/>
  <c r="A726" i="3"/>
  <c r="B726" i="3" s="1"/>
  <c r="L725" i="3"/>
  <c r="U725" i="3" l="1"/>
  <c r="Y724" i="3"/>
  <c r="Z726" i="3"/>
  <c r="P726" i="3"/>
  <c r="Q726" i="3" s="1"/>
  <c r="R726" i="3" s="1"/>
  <c r="S726" i="3" s="1"/>
  <c r="AA726" i="3"/>
  <c r="AD726" i="3"/>
  <c r="AC726" i="3"/>
  <c r="T726" i="3" l="1"/>
  <c r="AG726" i="3" s="1"/>
  <c r="D726" i="3" l="1"/>
  <c r="G726" i="3" s="1"/>
  <c r="E726" i="3"/>
  <c r="H726" i="3" s="1"/>
  <c r="K726" i="3" s="1"/>
  <c r="AE726" i="3" s="1"/>
  <c r="AH726" i="3"/>
  <c r="F726" i="3" l="1"/>
  <c r="I726" i="3"/>
  <c r="J726" i="3"/>
  <c r="M726" i="3"/>
  <c r="N726" i="3" s="1"/>
  <c r="V726" i="3"/>
  <c r="A727" i="3"/>
  <c r="B727" i="3" s="1"/>
  <c r="W726" i="3" l="1"/>
  <c r="L726" i="3"/>
  <c r="P727" i="3"/>
  <c r="Q727" i="3" s="1"/>
  <c r="R727" i="3" s="1"/>
  <c r="S727" i="3" s="1"/>
  <c r="Z727" i="3"/>
  <c r="AA727" i="3"/>
  <c r="AC727" i="3"/>
  <c r="AD727" i="3"/>
  <c r="U726" i="3" l="1"/>
  <c r="Y725" i="3"/>
  <c r="T727" i="3"/>
  <c r="AH727" i="3" s="1"/>
  <c r="E727" i="3" l="1"/>
  <c r="H727" i="3" s="1"/>
  <c r="K727" i="3" s="1"/>
  <c r="AE727" i="3" s="1"/>
  <c r="D727" i="3"/>
  <c r="AG727" i="3"/>
  <c r="F727" i="3" l="1"/>
  <c r="G727" i="3"/>
  <c r="M727" i="3" s="1"/>
  <c r="N727" i="3" s="1"/>
  <c r="V727" i="3"/>
  <c r="A728" i="3"/>
  <c r="B728" i="3" s="1"/>
  <c r="I727" i="3" l="1"/>
  <c r="W727" i="3" s="1"/>
  <c r="J727" i="3"/>
  <c r="L727" i="3" s="1"/>
  <c r="AA728" i="3"/>
  <c r="P728" i="3"/>
  <c r="Q728" i="3" s="1"/>
  <c r="R728" i="3" s="1"/>
  <c r="S728" i="3" s="1"/>
  <c r="AC728" i="3"/>
  <c r="Z728" i="3"/>
  <c r="AD728" i="3"/>
  <c r="U727" i="3" l="1"/>
  <c r="Y726" i="3"/>
  <c r="T728" i="3"/>
  <c r="D728" i="3" l="1"/>
  <c r="G728" i="3" s="1"/>
  <c r="AG728" i="3"/>
  <c r="E728" i="3"/>
  <c r="H728" i="3" s="1"/>
  <c r="AH728" i="3"/>
  <c r="F728" i="3" l="1"/>
  <c r="I728" i="3"/>
  <c r="J728" i="3"/>
  <c r="M728" i="3"/>
  <c r="N728" i="3" s="1"/>
  <c r="K728" i="3"/>
  <c r="AE728" i="3" s="1"/>
  <c r="V728" i="3" l="1"/>
  <c r="W728" i="3" s="1"/>
  <c r="A729" i="3"/>
  <c r="B729" i="3" s="1"/>
  <c r="L728" i="3"/>
  <c r="U728" i="3" l="1"/>
  <c r="Y727" i="3"/>
  <c r="P729" i="3"/>
  <c r="Q729" i="3" s="1"/>
  <c r="R729" i="3" s="1"/>
  <c r="S729" i="3" s="1"/>
  <c r="AA729" i="3"/>
  <c r="AD729" i="3"/>
  <c r="AC729" i="3"/>
  <c r="Z729" i="3"/>
  <c r="T729" i="3" l="1"/>
  <c r="E729" i="3" s="1"/>
  <c r="H729" i="3" s="1"/>
  <c r="AH729" i="3" l="1"/>
  <c r="D729" i="3"/>
  <c r="F729" i="3" s="1"/>
  <c r="AG729" i="3"/>
  <c r="K729" i="3"/>
  <c r="AE729" i="3" s="1"/>
  <c r="G729" i="3" l="1"/>
  <c r="I729" i="3" s="1"/>
  <c r="V729" i="3"/>
  <c r="A730" i="3"/>
  <c r="B730" i="3" s="1"/>
  <c r="W729" i="3" l="1"/>
  <c r="J729" i="3"/>
  <c r="L729" i="3" s="1"/>
  <c r="M729" i="3"/>
  <c r="N729" i="3" s="1"/>
  <c r="AA730" i="3"/>
  <c r="Z730" i="3"/>
  <c r="AD730" i="3"/>
  <c r="P730" i="3"/>
  <c r="Q730" i="3" s="1"/>
  <c r="R730" i="3" s="1"/>
  <c r="S730" i="3" s="1"/>
  <c r="AC730" i="3"/>
  <c r="U729" i="3" l="1"/>
  <c r="Y728" i="3"/>
  <c r="T730" i="3"/>
  <c r="AG730" i="3" s="1"/>
  <c r="D730" i="3" l="1"/>
  <c r="E730" i="3"/>
  <c r="H730" i="3" s="1"/>
  <c r="AH730" i="3"/>
  <c r="K730" i="3" l="1"/>
  <c r="AE730" i="3" s="1"/>
  <c r="F730" i="3"/>
  <c r="G730" i="3"/>
  <c r="I730" i="3" l="1"/>
  <c r="J730" i="3"/>
  <c r="M730" i="3"/>
  <c r="N730" i="3" s="1"/>
  <c r="V730" i="3"/>
  <c r="A731" i="3"/>
  <c r="B731" i="3" s="1"/>
  <c r="W730" i="3" l="1"/>
  <c r="L730" i="3"/>
  <c r="P731" i="3"/>
  <c r="Q731" i="3" s="1"/>
  <c r="R731" i="3" s="1"/>
  <c r="S731" i="3" s="1"/>
  <c r="Z731" i="3"/>
  <c r="AA731" i="3"/>
  <c r="AD731" i="3"/>
  <c r="AC731" i="3"/>
  <c r="U730" i="3" l="1"/>
  <c r="Y729" i="3"/>
  <c r="T731" i="3"/>
  <c r="AG731" i="3" s="1"/>
  <c r="E731" i="3" l="1"/>
  <c r="H731" i="3" s="1"/>
  <c r="K731" i="3" s="1"/>
  <c r="AE731" i="3" s="1"/>
  <c r="AH731" i="3"/>
  <c r="D731" i="3"/>
  <c r="F731" i="3" l="1"/>
  <c r="G731" i="3"/>
  <c r="J731" i="3" s="1"/>
  <c r="V731" i="3"/>
  <c r="A732" i="3"/>
  <c r="B732" i="3" s="1"/>
  <c r="M731" i="3" l="1"/>
  <c r="N731" i="3" s="1"/>
  <c r="I731" i="3"/>
  <c r="W731" i="3" s="1"/>
  <c r="L731" i="3"/>
  <c r="AC732" i="3"/>
  <c r="Z732" i="3"/>
  <c r="AD732" i="3"/>
  <c r="AA732" i="3"/>
  <c r="P732" i="3"/>
  <c r="Q732" i="3" s="1"/>
  <c r="R732" i="3" s="1"/>
  <c r="S732" i="3" s="1"/>
  <c r="U731" i="3" l="1"/>
  <c r="Y730" i="3"/>
  <c r="T732" i="3"/>
  <c r="E732" i="3" l="1"/>
  <c r="H732" i="3" s="1"/>
  <c r="K732" i="3" s="1"/>
  <c r="AE732" i="3" s="1"/>
  <c r="D732" i="3"/>
  <c r="G732" i="3" s="1"/>
  <c r="AH732" i="3"/>
  <c r="AG732" i="3"/>
  <c r="F732" i="3" l="1"/>
  <c r="I732" i="3"/>
  <c r="J732" i="3"/>
  <c r="M732" i="3"/>
  <c r="N732" i="3" s="1"/>
  <c r="V732" i="3"/>
  <c r="A733" i="3"/>
  <c r="B733" i="3" s="1"/>
  <c r="W732" i="3" l="1"/>
  <c r="L732" i="3"/>
  <c r="AC733" i="3"/>
  <c r="P733" i="3"/>
  <c r="Q733" i="3" s="1"/>
  <c r="R733" i="3" s="1"/>
  <c r="S733" i="3" s="1"/>
  <c r="AA733" i="3"/>
  <c r="Z733" i="3"/>
  <c r="AD733" i="3"/>
  <c r="T733" i="3" l="1"/>
  <c r="AH733" i="3" s="1"/>
  <c r="U732" i="3"/>
  <c r="Y731" i="3"/>
  <c r="D733" i="3" l="1"/>
  <c r="G733" i="3" s="1"/>
  <c r="E733" i="3"/>
  <c r="H733" i="3" s="1"/>
  <c r="AG733" i="3"/>
  <c r="F733" i="3" l="1"/>
  <c r="I733" i="3"/>
  <c r="J733" i="3"/>
  <c r="M733" i="3"/>
  <c r="N733" i="3" s="1"/>
  <c r="K733" i="3"/>
  <c r="AE733" i="3" s="1"/>
  <c r="V733" i="3" l="1"/>
  <c r="W733" i="3" s="1"/>
  <c r="A734" i="3"/>
  <c r="B734" i="3" s="1"/>
  <c r="L733" i="3"/>
  <c r="U733" i="3" l="1"/>
  <c r="Y732" i="3"/>
  <c r="P734" i="3"/>
  <c r="Q734" i="3" s="1"/>
  <c r="R734" i="3" s="1"/>
  <c r="S734" i="3" s="1"/>
  <c r="AC734" i="3"/>
  <c r="AA734" i="3"/>
  <c r="Z734" i="3"/>
  <c r="T734" i="3" l="1"/>
  <c r="AG734" i="3" s="1"/>
  <c r="D734" i="3" l="1"/>
  <c r="E734" i="3"/>
  <c r="H734" i="3" s="1"/>
  <c r="K734" i="3" s="1"/>
  <c r="AE734" i="3" s="1"/>
  <c r="AH734" i="3"/>
  <c r="F734" i="3" l="1"/>
  <c r="G734" i="3"/>
  <c r="M734" i="3" s="1"/>
  <c r="N734" i="3" s="1"/>
  <c r="V734" i="3"/>
  <c r="A735" i="3"/>
  <c r="B735" i="3" s="1"/>
  <c r="I734" i="3" l="1"/>
  <c r="W734" i="3" s="1"/>
  <c r="J734" i="3"/>
  <c r="AA735" i="3"/>
  <c r="Z735" i="3"/>
  <c r="P735" i="3"/>
  <c r="Q735" i="3" s="1"/>
  <c r="R735" i="3" s="1"/>
  <c r="S735" i="3" s="1"/>
  <c r="AC735" i="3"/>
  <c r="AD735" i="3"/>
  <c r="L734" i="3" l="1"/>
  <c r="Y733" i="3" s="1"/>
  <c r="AD734" i="3"/>
  <c r="T735" i="3"/>
  <c r="U734" i="3" l="1"/>
  <c r="E735" i="3" s="1"/>
  <c r="H735" i="3" s="1"/>
  <c r="AH735" i="3"/>
  <c r="AG735" i="3"/>
  <c r="D735" i="3" l="1"/>
  <c r="G735" i="3" s="1"/>
  <c r="M735" i="3" s="1"/>
  <c r="N735" i="3" s="1"/>
  <c r="K735" i="3"/>
  <c r="AE735" i="3" s="1"/>
  <c r="F735" i="3" l="1"/>
  <c r="I735" i="3"/>
  <c r="J735" i="3"/>
  <c r="L735" i="3" s="1"/>
  <c r="V735" i="3"/>
  <c r="A736" i="3"/>
  <c r="B736" i="3" s="1"/>
  <c r="W735" i="3" l="1"/>
  <c r="U735" i="3"/>
  <c r="Y734" i="3"/>
  <c r="Z736" i="3"/>
  <c r="P736" i="3"/>
  <c r="Q736" i="3" s="1"/>
  <c r="R736" i="3" s="1"/>
  <c r="S736" i="3" s="1"/>
  <c r="AA736" i="3"/>
  <c r="AD736" i="3"/>
  <c r="AC736" i="3"/>
  <c r="T736" i="3" l="1"/>
  <c r="E736" i="3" s="1"/>
  <c r="H736" i="3" s="1"/>
  <c r="AH736" i="3" l="1"/>
  <c r="D736" i="3"/>
  <c r="F736" i="3" s="1"/>
  <c r="K736" i="3"/>
  <c r="AE736" i="3" s="1"/>
  <c r="AG736" i="3"/>
  <c r="G736" i="3" l="1"/>
  <c r="M736" i="3" s="1"/>
  <c r="N736" i="3" s="1"/>
  <c r="V736" i="3"/>
  <c r="A737" i="3"/>
  <c r="B737" i="3" s="1"/>
  <c r="I736" i="3" l="1"/>
  <c r="W736" i="3" s="1"/>
  <c r="J736" i="3"/>
  <c r="L736" i="3" s="1"/>
  <c r="AC737" i="3"/>
  <c r="P737" i="3"/>
  <c r="Q737" i="3" s="1"/>
  <c r="R737" i="3" s="1"/>
  <c r="S737" i="3" s="1"/>
  <c r="AD737" i="3"/>
  <c r="Z737" i="3"/>
  <c r="AA737" i="3"/>
  <c r="U736" i="3" l="1"/>
  <c r="Y735" i="3"/>
  <c r="T737" i="3"/>
  <c r="AH737" i="3" s="1"/>
  <c r="D737" i="3" l="1"/>
  <c r="E737" i="3"/>
  <c r="H737" i="3" s="1"/>
  <c r="AG737" i="3"/>
  <c r="F737" i="3" l="1"/>
  <c r="G737" i="3"/>
  <c r="K737" i="3"/>
  <c r="AE737" i="3" s="1"/>
  <c r="V737" i="3" l="1"/>
  <c r="A738" i="3"/>
  <c r="B738" i="3" s="1"/>
  <c r="I737" i="3"/>
  <c r="J737" i="3"/>
  <c r="M737" i="3"/>
  <c r="N737" i="3" s="1"/>
  <c r="W737" i="3" l="1"/>
  <c r="L737" i="3"/>
  <c r="AA738" i="3"/>
  <c r="P738" i="3"/>
  <c r="Q738" i="3" s="1"/>
  <c r="R738" i="3" s="1"/>
  <c r="S738" i="3" s="1"/>
  <c r="AC738" i="3"/>
  <c r="Z738" i="3"/>
  <c r="AD738" i="3"/>
  <c r="U737" i="3" l="1"/>
  <c r="Y736" i="3"/>
  <c r="T738" i="3"/>
  <c r="E738" i="3" l="1"/>
  <c r="H738" i="3" s="1"/>
  <c r="K738" i="3" s="1"/>
  <c r="AE738" i="3" s="1"/>
  <c r="D738" i="3"/>
  <c r="AG738" i="3"/>
  <c r="AH738" i="3"/>
  <c r="V738" i="3" l="1"/>
  <c r="A739" i="3"/>
  <c r="B739" i="3" s="1"/>
  <c r="F738" i="3"/>
  <c r="G738" i="3"/>
  <c r="I738" i="3" l="1"/>
  <c r="W738" i="3" s="1"/>
  <c r="J738" i="3"/>
  <c r="M738" i="3"/>
  <c r="N738" i="3" s="1"/>
  <c r="P739" i="3"/>
  <c r="Q739" i="3" s="1"/>
  <c r="R739" i="3" s="1"/>
  <c r="S739" i="3" s="1"/>
  <c r="AC739" i="3"/>
  <c r="AA739" i="3"/>
  <c r="AD739" i="3"/>
  <c r="Z739" i="3"/>
  <c r="T739" i="3" l="1"/>
  <c r="L738" i="3"/>
  <c r="AH739" i="3" l="1"/>
  <c r="U738" i="3"/>
  <c r="E739" i="3" s="1"/>
  <c r="H739" i="3" s="1"/>
  <c r="AG739" i="3"/>
  <c r="Y737" i="3"/>
  <c r="D739" i="3" l="1"/>
  <c r="G739" i="3" s="1"/>
  <c r="K739" i="3"/>
  <c r="AE739" i="3" s="1"/>
  <c r="F739" i="3" l="1"/>
  <c r="I739" i="3"/>
  <c r="J739" i="3"/>
  <c r="M739" i="3"/>
  <c r="N739" i="3" s="1"/>
  <c r="V739" i="3"/>
  <c r="A740" i="3"/>
  <c r="B740" i="3" s="1"/>
  <c r="W739" i="3" l="1"/>
  <c r="L739" i="3"/>
  <c r="P740" i="3"/>
  <c r="Q740" i="3" s="1"/>
  <c r="R740" i="3" s="1"/>
  <c r="S740" i="3" s="1"/>
  <c r="Z740" i="3"/>
  <c r="AC740" i="3"/>
  <c r="AD740" i="3"/>
  <c r="AA740" i="3"/>
  <c r="U739" i="3" l="1"/>
  <c r="Y738" i="3"/>
  <c r="T740" i="3"/>
  <c r="E740" i="3" l="1"/>
  <c r="H740" i="3" s="1"/>
  <c r="K740" i="3" s="1"/>
  <c r="AE740" i="3" s="1"/>
  <c r="D740" i="3"/>
  <c r="G740" i="3" s="1"/>
  <c r="AH740" i="3"/>
  <c r="AG740" i="3"/>
  <c r="F740" i="3" l="1"/>
  <c r="I740" i="3"/>
  <c r="J740" i="3"/>
  <c r="M740" i="3"/>
  <c r="N740" i="3" s="1"/>
  <c r="V740" i="3"/>
  <c r="A741" i="3"/>
  <c r="B741" i="3" s="1"/>
  <c r="W740" i="3" l="1"/>
  <c r="L740" i="3"/>
  <c r="AA741" i="3"/>
  <c r="P741" i="3"/>
  <c r="Q741" i="3" s="1"/>
  <c r="R741" i="3" s="1"/>
  <c r="S741" i="3" s="1"/>
  <c r="AD741" i="3"/>
  <c r="Z741" i="3"/>
  <c r="AC741" i="3"/>
  <c r="T741" i="3" l="1"/>
  <c r="AG741" i="3" s="1"/>
  <c r="U740" i="3"/>
  <c r="Y739" i="3"/>
  <c r="E741" i="3" l="1"/>
  <c r="H741" i="3" s="1"/>
  <c r="D741" i="3"/>
  <c r="AH741" i="3"/>
  <c r="K741" i="3" l="1"/>
  <c r="AE741" i="3" s="1"/>
  <c r="F741" i="3"/>
  <c r="G741" i="3"/>
  <c r="V741" i="3" l="1"/>
  <c r="A742" i="3"/>
  <c r="B742" i="3" s="1"/>
  <c r="I741" i="3"/>
  <c r="J741" i="3"/>
  <c r="M741" i="3"/>
  <c r="N741" i="3" s="1"/>
  <c r="L741" i="3" l="1"/>
  <c r="W741" i="3"/>
  <c r="AC742" i="3"/>
  <c r="P742" i="3"/>
  <c r="Q742" i="3" s="1"/>
  <c r="R742" i="3" s="1"/>
  <c r="S742" i="3" s="1"/>
  <c r="AD742" i="3"/>
  <c r="Z742" i="3"/>
  <c r="AA742" i="3"/>
  <c r="U741" i="3" l="1"/>
  <c r="Y740" i="3"/>
  <c r="T742" i="3"/>
  <c r="AG742" i="3" s="1"/>
  <c r="E742" i="3" l="1"/>
  <c r="H742" i="3" s="1"/>
  <c r="K742" i="3" s="1"/>
  <c r="AE742" i="3" s="1"/>
  <c r="AH742" i="3"/>
  <c r="D742" i="3"/>
  <c r="F742" i="3" l="1"/>
  <c r="G742" i="3"/>
  <c r="V742" i="3"/>
  <c r="A743" i="3"/>
  <c r="B743" i="3" s="1"/>
  <c r="I742" i="3" l="1"/>
  <c r="W742" i="3" s="1"/>
  <c r="J742" i="3"/>
  <c r="M742" i="3"/>
  <c r="N742" i="3" s="1"/>
  <c r="Z743" i="3"/>
  <c r="AA743" i="3"/>
  <c r="P743" i="3"/>
  <c r="Q743" i="3" s="1"/>
  <c r="R743" i="3" s="1"/>
  <c r="S743" i="3" s="1"/>
  <c r="AC743" i="3"/>
  <c r="AD743" i="3"/>
  <c r="T743" i="3" l="1"/>
  <c r="L742" i="3"/>
  <c r="U742" i="3" l="1"/>
  <c r="E743" i="3" s="1"/>
  <c r="H743" i="3" s="1"/>
  <c r="AH743" i="3"/>
  <c r="AG743" i="3"/>
  <c r="Y741" i="3"/>
  <c r="D743" i="3" l="1"/>
  <c r="G743" i="3" s="1"/>
  <c r="K743" i="3"/>
  <c r="AE743" i="3" s="1"/>
  <c r="F743" i="3" l="1"/>
  <c r="I743" i="3"/>
  <c r="J743" i="3"/>
  <c r="M743" i="3"/>
  <c r="N743" i="3" s="1"/>
  <c r="V743" i="3"/>
  <c r="A744" i="3"/>
  <c r="B744" i="3" s="1"/>
  <c r="W743" i="3" l="1"/>
  <c r="L743" i="3"/>
  <c r="AA744" i="3"/>
  <c r="P744" i="3"/>
  <c r="Q744" i="3" s="1"/>
  <c r="R744" i="3" s="1"/>
  <c r="S744" i="3" s="1"/>
  <c r="AC744" i="3"/>
  <c r="Z744" i="3"/>
  <c r="U743" i="3" l="1"/>
  <c r="Y742" i="3"/>
  <c r="T744" i="3"/>
  <c r="AG744" i="3" s="1"/>
  <c r="E744" i="3" l="1"/>
  <c r="H744" i="3" s="1"/>
  <c r="K744" i="3" s="1"/>
  <c r="AE744" i="3" s="1"/>
  <c r="D744" i="3"/>
  <c r="AH744" i="3"/>
  <c r="F744" i="3" l="1"/>
  <c r="G744" i="3"/>
  <c r="I744" i="3" s="1"/>
  <c r="V744" i="3"/>
  <c r="A745" i="3"/>
  <c r="B745" i="3" s="1"/>
  <c r="J744" i="3" l="1"/>
  <c r="M744" i="3"/>
  <c r="N744" i="3" s="1"/>
  <c r="W744" i="3"/>
  <c r="P745" i="3"/>
  <c r="Q745" i="3" s="1"/>
  <c r="R745" i="3" s="1"/>
  <c r="S745" i="3" s="1"/>
  <c r="AA745" i="3"/>
  <c r="AC745" i="3"/>
  <c r="AD745" i="3"/>
  <c r="Z745" i="3"/>
  <c r="L744" i="3" l="1"/>
  <c r="U744" i="3" s="1"/>
  <c r="AD744" i="3"/>
  <c r="T745" i="3"/>
  <c r="Y743" i="3" l="1"/>
  <c r="AG745" i="3"/>
  <c r="E745" i="3"/>
  <c r="H745" i="3" s="1"/>
  <c r="K745" i="3" s="1"/>
  <c r="AE745" i="3" s="1"/>
  <c r="D745" i="3"/>
  <c r="AH745" i="3"/>
  <c r="F745" i="3" l="1"/>
  <c r="G745" i="3"/>
  <c r="M745" i="3" s="1"/>
  <c r="N745" i="3" s="1"/>
  <c r="V745" i="3"/>
  <c r="A746" i="3"/>
  <c r="B746" i="3" s="1"/>
  <c r="I745" i="3" l="1"/>
  <c r="W745" i="3" s="1"/>
  <c r="J745" i="3"/>
  <c r="L745" i="3" s="1"/>
  <c r="Z746" i="3"/>
  <c r="AD746" i="3"/>
  <c r="P746" i="3"/>
  <c r="Q746" i="3" s="1"/>
  <c r="R746" i="3" s="1"/>
  <c r="S746" i="3" s="1"/>
  <c r="AA746" i="3"/>
  <c r="AC746" i="3"/>
  <c r="U745" i="3" l="1"/>
  <c r="Y744" i="3"/>
  <c r="T746" i="3"/>
  <c r="D746" i="3" l="1"/>
  <c r="G746" i="3" s="1"/>
  <c r="AG746" i="3"/>
  <c r="E746" i="3"/>
  <c r="H746" i="3" s="1"/>
  <c r="AH746" i="3"/>
  <c r="F746" i="3" l="1"/>
  <c r="I746" i="3"/>
  <c r="J746" i="3"/>
  <c r="M746" i="3"/>
  <c r="N746" i="3" s="1"/>
  <c r="K746" i="3"/>
  <c r="AE746" i="3" s="1"/>
  <c r="V746" i="3" l="1"/>
  <c r="W746" i="3" s="1"/>
  <c r="A747" i="3"/>
  <c r="B747" i="3" s="1"/>
  <c r="L746" i="3"/>
  <c r="U746" i="3" l="1"/>
  <c r="Y745" i="3"/>
  <c r="AA747" i="3"/>
  <c r="AD747" i="3"/>
  <c r="Z747" i="3"/>
  <c r="AC747" i="3"/>
  <c r="P747" i="3"/>
  <c r="Q747" i="3" s="1"/>
  <c r="R747" i="3" s="1"/>
  <c r="S747" i="3" s="1"/>
  <c r="T747" i="3" l="1"/>
  <c r="D747" i="3" s="1"/>
  <c r="AG747" i="3" l="1"/>
  <c r="E747" i="3"/>
  <c r="H747" i="3" s="1"/>
  <c r="K747" i="3" s="1"/>
  <c r="AE747" i="3" s="1"/>
  <c r="AH747" i="3"/>
  <c r="G747" i="3"/>
  <c r="F747" i="3" l="1"/>
  <c r="I747" i="3"/>
  <c r="J747" i="3"/>
  <c r="M747" i="3"/>
  <c r="N747" i="3" s="1"/>
  <c r="V747" i="3"/>
  <c r="A748" i="3"/>
  <c r="B748" i="3" s="1"/>
  <c r="W747" i="3" l="1"/>
  <c r="L747" i="3"/>
  <c r="AC748" i="3"/>
  <c r="P748" i="3"/>
  <c r="Q748" i="3" s="1"/>
  <c r="R748" i="3" s="1"/>
  <c r="S748" i="3" s="1"/>
  <c r="AD748" i="3"/>
  <c r="Z748" i="3"/>
  <c r="AA748" i="3"/>
  <c r="U747" i="3" l="1"/>
  <c r="Y746" i="3"/>
  <c r="T748" i="3"/>
  <c r="E748" i="3" l="1"/>
  <c r="H748" i="3" s="1"/>
  <c r="K748" i="3" s="1"/>
  <c r="AE748" i="3" s="1"/>
  <c r="D748" i="3"/>
  <c r="AH748" i="3"/>
  <c r="AG748" i="3"/>
  <c r="V748" i="3" l="1"/>
  <c r="A749" i="3"/>
  <c r="B749" i="3" s="1"/>
  <c r="F748" i="3"/>
  <c r="G748" i="3"/>
  <c r="I748" i="3" l="1"/>
  <c r="W748" i="3" s="1"/>
  <c r="J748" i="3"/>
  <c r="M748" i="3"/>
  <c r="N748" i="3" s="1"/>
  <c r="AA749" i="3"/>
  <c r="Z749" i="3"/>
  <c r="P749" i="3"/>
  <c r="Q749" i="3" s="1"/>
  <c r="R749" i="3" s="1"/>
  <c r="S749" i="3" s="1"/>
  <c r="AC749" i="3"/>
  <c r="AD749" i="3"/>
  <c r="T749" i="3" l="1"/>
  <c r="L748" i="3"/>
  <c r="U748" i="3" l="1"/>
  <c r="E749" i="3" s="1"/>
  <c r="H749" i="3" s="1"/>
  <c r="AG749" i="3"/>
  <c r="AH749" i="3"/>
  <c r="Y747" i="3"/>
  <c r="K749" i="3" l="1"/>
  <c r="AE749" i="3" s="1"/>
  <c r="D749" i="3"/>
  <c r="V749" i="3" l="1"/>
  <c r="A750" i="3"/>
  <c r="B750" i="3" s="1"/>
  <c r="F749" i="3"/>
  <c r="G749" i="3"/>
  <c r="I749" i="3" l="1"/>
  <c r="W749" i="3" s="1"/>
  <c r="J749" i="3"/>
  <c r="M749" i="3"/>
  <c r="N749" i="3" s="1"/>
  <c r="AA750" i="3"/>
  <c r="AC750" i="3"/>
  <c r="Z750" i="3"/>
  <c r="AD750" i="3"/>
  <c r="P750" i="3"/>
  <c r="Q750" i="3" s="1"/>
  <c r="R750" i="3" s="1"/>
  <c r="S750" i="3" s="1"/>
  <c r="T750" i="3" l="1"/>
  <c r="L749" i="3"/>
  <c r="AH750" i="3" l="1"/>
  <c r="AG750" i="3"/>
  <c r="U749" i="3"/>
  <c r="D750" i="3" s="1"/>
  <c r="Y748" i="3"/>
  <c r="G750" i="3" l="1"/>
  <c r="E750" i="3"/>
  <c r="H750" i="3" s="1"/>
  <c r="F750" i="3" l="1"/>
  <c r="I750" i="3"/>
  <c r="J750" i="3"/>
  <c r="M750" i="3"/>
  <c r="N750" i="3" s="1"/>
  <c r="K750" i="3"/>
  <c r="AE750" i="3" s="1"/>
  <c r="V750" i="3" l="1"/>
  <c r="W750" i="3" s="1"/>
  <c r="A751" i="3"/>
  <c r="B751" i="3" s="1"/>
  <c r="L750" i="3"/>
  <c r="U750" i="3" l="1"/>
  <c r="Y749" i="3"/>
  <c r="P751" i="3"/>
  <c r="Q751" i="3" s="1"/>
  <c r="R751" i="3" s="1"/>
  <c r="S751" i="3" s="1"/>
  <c r="Z751" i="3"/>
  <c r="AA751" i="3"/>
  <c r="AC751" i="3"/>
  <c r="AD751" i="3"/>
  <c r="T751" i="3" l="1"/>
  <c r="AH751" i="3" s="1"/>
  <c r="E751" i="3" l="1"/>
  <c r="H751" i="3" s="1"/>
  <c r="K751" i="3" s="1"/>
  <c r="AE751" i="3" s="1"/>
  <c r="AG751" i="3"/>
  <c r="D751" i="3"/>
  <c r="F751" i="3" l="1"/>
  <c r="G751" i="3"/>
  <c r="V751" i="3"/>
  <c r="A752" i="3"/>
  <c r="B752" i="3" s="1"/>
  <c r="AA752" i="3" l="1"/>
  <c r="AD752" i="3"/>
  <c r="Z752" i="3"/>
  <c r="AC752" i="3"/>
  <c r="P752" i="3"/>
  <c r="Q752" i="3" s="1"/>
  <c r="R752" i="3" s="1"/>
  <c r="S752" i="3" s="1"/>
  <c r="I751" i="3"/>
  <c r="W751" i="3" s="1"/>
  <c r="J751" i="3"/>
  <c r="M751" i="3"/>
  <c r="N751" i="3" s="1"/>
  <c r="L751" i="3" l="1"/>
  <c r="T752" i="3"/>
  <c r="U751" i="3" l="1"/>
  <c r="E752" i="3" s="1"/>
  <c r="H752" i="3" s="1"/>
  <c r="AG752" i="3"/>
  <c r="AH752" i="3"/>
  <c r="Y750" i="3"/>
  <c r="K752" i="3" l="1"/>
  <c r="AE752" i="3" s="1"/>
  <c r="D752" i="3"/>
  <c r="V752" i="3" l="1"/>
  <c r="A753" i="3"/>
  <c r="B753" i="3" s="1"/>
  <c r="F752" i="3"/>
  <c r="G752" i="3"/>
  <c r="I752" i="3" l="1"/>
  <c r="W752" i="3" s="1"/>
  <c r="J752" i="3"/>
  <c r="M752" i="3"/>
  <c r="N752" i="3" s="1"/>
  <c r="AD753" i="3"/>
  <c r="AA753" i="3"/>
  <c r="Z753" i="3"/>
  <c r="P753" i="3"/>
  <c r="Q753" i="3" s="1"/>
  <c r="R753" i="3" s="1"/>
  <c r="S753" i="3" s="1"/>
  <c r="AC753" i="3"/>
  <c r="T753" i="3" l="1"/>
  <c r="L752" i="3"/>
  <c r="AG753" i="3" l="1"/>
  <c r="U752" i="3"/>
  <c r="E753" i="3" s="1"/>
  <c r="H753" i="3" s="1"/>
  <c r="AH753" i="3"/>
  <c r="Y751" i="3"/>
  <c r="K753" i="3" l="1"/>
  <c r="AE753" i="3" s="1"/>
  <c r="D753" i="3"/>
  <c r="V753" i="3" l="1"/>
  <c r="A754" i="3"/>
  <c r="B754" i="3" s="1"/>
  <c r="F753" i="3"/>
  <c r="G753" i="3"/>
  <c r="I753" i="3" l="1"/>
  <c r="W753" i="3" s="1"/>
  <c r="J753" i="3"/>
  <c r="M753" i="3"/>
  <c r="N753" i="3" s="1"/>
  <c r="AC754" i="3"/>
  <c r="P754" i="3"/>
  <c r="Q754" i="3" s="1"/>
  <c r="R754" i="3" s="1"/>
  <c r="S754" i="3" s="1"/>
  <c r="Z754" i="3"/>
  <c r="AA754" i="3"/>
  <c r="T754" i="3" l="1"/>
  <c r="L753" i="3"/>
  <c r="AG754" i="3" l="1"/>
  <c r="AH754" i="3"/>
  <c r="U753" i="3"/>
  <c r="E754" i="3" s="1"/>
  <c r="H754" i="3" s="1"/>
  <c r="Y752" i="3"/>
  <c r="D754" i="3" l="1"/>
  <c r="G754" i="3" s="1"/>
  <c r="K754" i="3"/>
  <c r="AE754" i="3" s="1"/>
  <c r="F754" i="3" l="1"/>
  <c r="I754" i="3"/>
  <c r="J754" i="3"/>
  <c r="AD754" i="3" s="1"/>
  <c r="M754" i="3"/>
  <c r="N754" i="3" s="1"/>
  <c r="V754" i="3"/>
  <c r="A755" i="3"/>
  <c r="B755" i="3" s="1"/>
  <c r="W754" i="3" l="1"/>
  <c r="L754" i="3"/>
  <c r="AD755" i="3"/>
  <c r="AC755" i="3"/>
  <c r="AA755" i="3"/>
  <c r="P755" i="3"/>
  <c r="Q755" i="3" s="1"/>
  <c r="R755" i="3" s="1"/>
  <c r="S755" i="3" s="1"/>
  <c r="Z755" i="3"/>
  <c r="T755" i="3" l="1"/>
  <c r="U754" i="3"/>
  <c r="Y753" i="3"/>
  <c r="E755" i="3" l="1"/>
  <c r="H755" i="3" s="1"/>
  <c r="K755" i="3" s="1"/>
  <c r="AE755" i="3" s="1"/>
  <c r="AH755" i="3"/>
  <c r="AG755" i="3"/>
  <c r="D755" i="3"/>
  <c r="F755" i="3" l="1"/>
  <c r="G755" i="3"/>
  <c r="V755" i="3"/>
  <c r="A756" i="3"/>
  <c r="B756" i="3" s="1"/>
  <c r="P756" i="3" l="1"/>
  <c r="Q756" i="3" s="1"/>
  <c r="R756" i="3" s="1"/>
  <c r="S756" i="3" s="1"/>
  <c r="Z756" i="3"/>
  <c r="AA756" i="3"/>
  <c r="AC756" i="3"/>
  <c r="AD756" i="3"/>
  <c r="I755" i="3"/>
  <c r="W755" i="3" s="1"/>
  <c r="J755" i="3"/>
  <c r="M755" i="3"/>
  <c r="N755" i="3" s="1"/>
  <c r="T756" i="3" l="1"/>
  <c r="L755" i="3"/>
  <c r="AG756" i="3" l="1"/>
  <c r="U755" i="3"/>
  <c r="E756" i="3" s="1"/>
  <c r="H756" i="3" s="1"/>
  <c r="AH756" i="3"/>
  <c r="Y754" i="3"/>
  <c r="D756" i="3" l="1"/>
  <c r="F756" i="3" s="1"/>
  <c r="K756" i="3"/>
  <c r="AE756" i="3" s="1"/>
  <c r="G756" i="3" l="1"/>
  <c r="M756" i="3" s="1"/>
  <c r="N756" i="3" s="1"/>
  <c r="V756" i="3"/>
  <c r="A757" i="3"/>
  <c r="B757" i="3" s="1"/>
  <c r="I756" i="3" l="1"/>
  <c r="W756" i="3" s="1"/>
  <c r="J756" i="3"/>
  <c r="L756" i="3" s="1"/>
  <c r="AD757" i="3"/>
  <c r="AC757" i="3"/>
  <c r="P757" i="3"/>
  <c r="Q757" i="3" s="1"/>
  <c r="R757" i="3" s="1"/>
  <c r="S757" i="3" s="1"/>
  <c r="Z757" i="3"/>
  <c r="AA757" i="3"/>
  <c r="T757" i="3" l="1"/>
  <c r="U756" i="3"/>
  <c r="Y755" i="3"/>
  <c r="E757" i="3" l="1"/>
  <c r="H757" i="3" s="1"/>
  <c r="K757" i="3" s="1"/>
  <c r="AE757" i="3" s="1"/>
  <c r="AH757" i="3"/>
  <c r="D757" i="3"/>
  <c r="AG757" i="3"/>
  <c r="V757" i="3" l="1"/>
  <c r="A758" i="3"/>
  <c r="B758" i="3" s="1"/>
  <c r="F757" i="3"/>
  <c r="G757" i="3"/>
  <c r="I757" i="3" l="1"/>
  <c r="W757" i="3" s="1"/>
  <c r="J757" i="3"/>
  <c r="M757" i="3"/>
  <c r="N757" i="3" s="1"/>
  <c r="AA758" i="3"/>
  <c r="Z758" i="3"/>
  <c r="AD758" i="3"/>
  <c r="AC758" i="3"/>
  <c r="P758" i="3"/>
  <c r="Q758" i="3" s="1"/>
  <c r="R758" i="3" s="1"/>
  <c r="S758" i="3" s="1"/>
  <c r="T758" i="3" l="1"/>
  <c r="L757" i="3"/>
  <c r="AG758" i="3" l="1"/>
  <c r="U757" i="3"/>
  <c r="D758" i="3" s="1"/>
  <c r="AH758" i="3"/>
  <c r="Y756" i="3"/>
  <c r="E758" i="3" l="1"/>
  <c r="H758" i="3" s="1"/>
  <c r="K758" i="3" s="1"/>
  <c r="AE758" i="3" s="1"/>
  <c r="G758" i="3"/>
  <c r="F758" i="3" l="1"/>
  <c r="V758" i="3"/>
  <c r="A759" i="3"/>
  <c r="B759" i="3" s="1"/>
  <c r="I758" i="3"/>
  <c r="J758" i="3"/>
  <c r="M758" i="3"/>
  <c r="N758" i="3" s="1"/>
  <c r="L758" i="3" l="1"/>
  <c r="W758" i="3"/>
  <c r="AD759" i="3"/>
  <c r="P759" i="3"/>
  <c r="Q759" i="3" s="1"/>
  <c r="R759" i="3" s="1"/>
  <c r="S759" i="3" s="1"/>
  <c r="Z759" i="3"/>
  <c r="AA759" i="3"/>
  <c r="AC759" i="3"/>
  <c r="U758" i="3" l="1"/>
  <c r="Y757" i="3"/>
  <c r="T759" i="3"/>
  <c r="D759" i="3" l="1"/>
  <c r="G759" i="3" s="1"/>
  <c r="AG759" i="3"/>
  <c r="E759" i="3"/>
  <c r="H759" i="3" s="1"/>
  <c r="AH759" i="3"/>
  <c r="F759" i="3" l="1"/>
  <c r="I759" i="3"/>
  <c r="J759" i="3"/>
  <c r="M759" i="3"/>
  <c r="N759" i="3" s="1"/>
  <c r="K759" i="3"/>
  <c r="AE759" i="3" s="1"/>
  <c r="V759" i="3" l="1"/>
  <c r="W759" i="3" s="1"/>
  <c r="A760" i="3"/>
  <c r="B760" i="3" s="1"/>
  <c r="L759" i="3"/>
  <c r="U759" i="3" l="1"/>
  <c r="Y758" i="3"/>
  <c r="AA760" i="3"/>
  <c r="AC760" i="3"/>
  <c r="Z760" i="3"/>
  <c r="P760" i="3"/>
  <c r="Q760" i="3" s="1"/>
  <c r="R760" i="3" s="1"/>
  <c r="S760" i="3" s="1"/>
  <c r="AD760" i="3"/>
  <c r="T760" i="3" l="1"/>
  <c r="E760" i="3" s="1"/>
  <c r="H760" i="3" s="1"/>
  <c r="AH760" i="3" l="1"/>
  <c r="AG760" i="3"/>
  <c r="D760" i="3"/>
  <c r="G760" i="3" s="1"/>
  <c r="K760" i="3"/>
  <c r="AE760" i="3" s="1"/>
  <c r="F760" i="3" l="1"/>
  <c r="I760" i="3"/>
  <c r="J760" i="3"/>
  <c r="M760" i="3"/>
  <c r="N760" i="3" s="1"/>
  <c r="V760" i="3"/>
  <c r="A761" i="3"/>
  <c r="B761" i="3" s="1"/>
  <c r="W760" i="3" l="1"/>
  <c r="L760" i="3"/>
  <c r="P761" i="3"/>
  <c r="Q761" i="3" s="1"/>
  <c r="R761" i="3" s="1"/>
  <c r="S761" i="3" s="1"/>
  <c r="Z761" i="3"/>
  <c r="AA761" i="3"/>
  <c r="AD761" i="3"/>
  <c r="AC761" i="3"/>
  <c r="T761" i="3" l="1"/>
  <c r="U760" i="3"/>
  <c r="Y759" i="3"/>
  <c r="D761" i="3" l="1"/>
  <c r="G761" i="3" s="1"/>
  <c r="AG761" i="3"/>
  <c r="AH761" i="3"/>
  <c r="E761" i="3"/>
  <c r="H761" i="3" s="1"/>
  <c r="F761" i="3" l="1"/>
  <c r="I761" i="3"/>
  <c r="J761" i="3"/>
  <c r="M761" i="3"/>
  <c r="N761" i="3" s="1"/>
  <c r="K761" i="3"/>
  <c r="AE761" i="3" s="1"/>
  <c r="V761" i="3" l="1"/>
  <c r="W761" i="3" s="1"/>
  <c r="A762" i="3"/>
  <c r="B762" i="3" s="1"/>
  <c r="L761" i="3"/>
  <c r="U761" i="3" l="1"/>
  <c r="Y760" i="3"/>
  <c r="AA762" i="3"/>
  <c r="Z762" i="3"/>
  <c r="AC762" i="3"/>
  <c r="P762" i="3"/>
  <c r="Q762" i="3" s="1"/>
  <c r="R762" i="3" s="1"/>
  <c r="S762" i="3" s="1"/>
  <c r="AD762" i="3"/>
  <c r="T762" i="3" l="1"/>
  <c r="D762" i="3" s="1"/>
  <c r="E762" i="3" l="1"/>
  <c r="H762" i="3" s="1"/>
  <c r="K762" i="3" s="1"/>
  <c r="AE762" i="3" s="1"/>
  <c r="AH762" i="3"/>
  <c r="AG762" i="3"/>
  <c r="G762" i="3"/>
  <c r="F762" i="3" l="1"/>
  <c r="I762" i="3"/>
  <c r="J762" i="3"/>
  <c r="M762" i="3"/>
  <c r="N762" i="3" s="1"/>
  <c r="V762" i="3"/>
  <c r="A763" i="3"/>
  <c r="B763" i="3" s="1"/>
  <c r="W762" i="3" l="1"/>
  <c r="L762" i="3"/>
  <c r="AC763" i="3"/>
  <c r="Z763" i="3"/>
  <c r="AA763" i="3"/>
  <c r="P763" i="3"/>
  <c r="Q763" i="3" s="1"/>
  <c r="R763" i="3" s="1"/>
  <c r="S763" i="3" s="1"/>
  <c r="AD763" i="3"/>
  <c r="U762" i="3" l="1"/>
  <c r="Y761" i="3"/>
  <c r="T763" i="3"/>
  <c r="D763" i="3" l="1"/>
  <c r="G763" i="3" s="1"/>
  <c r="AG763" i="3"/>
  <c r="AH763" i="3"/>
  <c r="E763" i="3"/>
  <c r="H763" i="3" s="1"/>
  <c r="K763" i="3" s="1"/>
  <c r="AE763" i="3" s="1"/>
  <c r="F763" i="3" l="1"/>
  <c r="I763" i="3"/>
  <c r="J763" i="3"/>
  <c r="M763" i="3"/>
  <c r="N763" i="3" s="1"/>
  <c r="V763" i="3"/>
  <c r="A764" i="3"/>
  <c r="B764" i="3" s="1"/>
  <c r="W763" i="3" l="1"/>
  <c r="L763" i="3"/>
  <c r="Z764" i="3"/>
  <c r="P764" i="3"/>
  <c r="Q764" i="3" s="1"/>
  <c r="R764" i="3" s="1"/>
  <c r="S764" i="3" s="1"/>
  <c r="AC764" i="3"/>
  <c r="AA764" i="3"/>
  <c r="U763" i="3" l="1"/>
  <c r="Y762" i="3"/>
  <c r="T764" i="3"/>
  <c r="E764" i="3" l="1"/>
  <c r="H764" i="3" s="1"/>
  <c r="K764" i="3" s="1"/>
  <c r="AE764" i="3" s="1"/>
  <c r="AG764" i="3"/>
  <c r="D764" i="3"/>
  <c r="AH764" i="3"/>
  <c r="F764" i="3" l="1"/>
  <c r="G764" i="3"/>
  <c r="V764" i="3"/>
  <c r="A765" i="3"/>
  <c r="B765" i="3" s="1"/>
  <c r="P765" i="3" l="1"/>
  <c r="Q765" i="3" s="1"/>
  <c r="R765" i="3" s="1"/>
  <c r="S765" i="3" s="1"/>
  <c r="Z765" i="3"/>
  <c r="AA765" i="3"/>
  <c r="AC765" i="3"/>
  <c r="AD765" i="3"/>
  <c r="I764" i="3"/>
  <c r="W764" i="3" s="1"/>
  <c r="J764" i="3"/>
  <c r="AD764" i="3" s="1"/>
  <c r="M764" i="3"/>
  <c r="N764" i="3" s="1"/>
  <c r="T765" i="3" l="1"/>
  <c r="L764" i="3"/>
  <c r="AG765" i="3" l="1"/>
  <c r="AH765" i="3"/>
  <c r="U764" i="3"/>
  <c r="D765" i="3" s="1"/>
  <c r="Y763" i="3"/>
  <c r="E765" i="3" l="1"/>
  <c r="H765" i="3" s="1"/>
  <c r="K765" i="3" s="1"/>
  <c r="AE765" i="3" s="1"/>
  <c r="G765" i="3"/>
  <c r="F765" i="3" l="1"/>
  <c r="I765" i="3"/>
  <c r="J765" i="3"/>
  <c r="M765" i="3"/>
  <c r="N765" i="3" s="1"/>
  <c r="V765" i="3"/>
  <c r="A766" i="3"/>
  <c r="B766" i="3" s="1"/>
  <c r="W765" i="3" l="1"/>
  <c r="L765" i="3"/>
  <c r="AD766" i="3"/>
  <c r="P766" i="3"/>
  <c r="Q766" i="3" s="1"/>
  <c r="R766" i="3" s="1"/>
  <c r="S766" i="3" s="1"/>
  <c r="AA766" i="3"/>
  <c r="Z766" i="3"/>
  <c r="AC766" i="3"/>
  <c r="U765" i="3" l="1"/>
  <c r="Y764" i="3"/>
  <c r="T766" i="3"/>
  <c r="E766" i="3" l="1"/>
  <c r="H766" i="3" s="1"/>
  <c r="K766" i="3" s="1"/>
  <c r="AE766" i="3" s="1"/>
  <c r="D766" i="3"/>
  <c r="AG766" i="3"/>
  <c r="AH766" i="3"/>
  <c r="V766" i="3" l="1"/>
  <c r="A767" i="3"/>
  <c r="B767" i="3" s="1"/>
  <c r="F766" i="3"/>
  <c r="G766" i="3"/>
  <c r="I766" i="3" l="1"/>
  <c r="W766" i="3" s="1"/>
  <c r="J766" i="3"/>
  <c r="M766" i="3"/>
  <c r="N766" i="3" s="1"/>
  <c r="P767" i="3"/>
  <c r="Q767" i="3" s="1"/>
  <c r="R767" i="3" s="1"/>
  <c r="S767" i="3" s="1"/>
  <c r="AC767" i="3"/>
  <c r="AD767" i="3"/>
  <c r="AA767" i="3"/>
  <c r="Z767" i="3"/>
  <c r="T767" i="3" l="1"/>
  <c r="L766" i="3"/>
  <c r="AH767" i="3" l="1"/>
  <c r="AG767" i="3"/>
  <c r="U766" i="3"/>
  <c r="D767" i="3" s="1"/>
  <c r="Y765" i="3"/>
  <c r="E767" i="3" l="1"/>
  <c r="H767" i="3" s="1"/>
  <c r="K767" i="3" s="1"/>
  <c r="AE767" i="3" s="1"/>
  <c r="G767" i="3"/>
  <c r="F767" i="3" l="1"/>
  <c r="I767" i="3"/>
  <c r="J767" i="3"/>
  <c r="M767" i="3"/>
  <c r="N767" i="3" s="1"/>
  <c r="V767" i="3"/>
  <c r="A768" i="3"/>
  <c r="B768" i="3" s="1"/>
  <c r="W767" i="3" l="1"/>
  <c r="L767" i="3"/>
  <c r="AC768" i="3"/>
  <c r="AA768" i="3"/>
  <c r="AD768" i="3"/>
  <c r="P768" i="3"/>
  <c r="Q768" i="3" s="1"/>
  <c r="R768" i="3" s="1"/>
  <c r="S768" i="3" s="1"/>
  <c r="Z768" i="3"/>
  <c r="T768" i="3" l="1"/>
  <c r="AG768" i="3" s="1"/>
  <c r="U767" i="3"/>
  <c r="Y766" i="3"/>
  <c r="D768" i="3" l="1"/>
  <c r="G768" i="3" s="1"/>
  <c r="AH768" i="3"/>
  <c r="E768" i="3"/>
  <c r="H768" i="3" s="1"/>
  <c r="K768" i="3" l="1"/>
  <c r="AE768" i="3" s="1"/>
  <c r="I768" i="3"/>
  <c r="J768" i="3"/>
  <c r="M768" i="3"/>
  <c r="N768" i="3" s="1"/>
  <c r="F768" i="3"/>
  <c r="L768" i="3" l="1"/>
  <c r="V768" i="3"/>
  <c r="W768" i="3" s="1"/>
  <c r="A769" i="3"/>
  <c r="B769" i="3" s="1"/>
  <c r="AD769" i="3" l="1"/>
  <c r="AC769" i="3"/>
  <c r="Z769" i="3"/>
  <c r="P769" i="3"/>
  <c r="Q769" i="3" s="1"/>
  <c r="R769" i="3" s="1"/>
  <c r="S769" i="3" s="1"/>
  <c r="AA769" i="3"/>
  <c r="U768" i="3"/>
  <c r="Y767" i="3"/>
  <c r="T769" i="3" l="1"/>
  <c r="AG769" i="3" l="1"/>
  <c r="D769" i="3"/>
  <c r="AH769" i="3"/>
  <c r="E769" i="3"/>
  <c r="H769" i="3" s="1"/>
  <c r="F769" i="3" l="1"/>
  <c r="G769" i="3"/>
  <c r="K769" i="3"/>
  <c r="AE769" i="3" s="1"/>
  <c r="V769" i="3" l="1"/>
  <c r="A770" i="3"/>
  <c r="B770" i="3" s="1"/>
  <c r="I769" i="3"/>
  <c r="J769" i="3"/>
  <c r="M769" i="3"/>
  <c r="N769" i="3" s="1"/>
  <c r="W769" i="3" l="1"/>
  <c r="L769" i="3"/>
  <c r="AC770" i="3"/>
  <c r="P770" i="3"/>
  <c r="Q770" i="3" s="1"/>
  <c r="R770" i="3" s="1"/>
  <c r="S770" i="3" s="1"/>
  <c r="AD770" i="3"/>
  <c r="Z770" i="3"/>
  <c r="AA770" i="3"/>
  <c r="U769" i="3" l="1"/>
  <c r="Y768" i="3"/>
  <c r="T770" i="3"/>
  <c r="AG770" i="3" s="1"/>
  <c r="E770" i="3" l="1"/>
  <c r="H770" i="3" s="1"/>
  <c r="K770" i="3" s="1"/>
  <c r="AE770" i="3" s="1"/>
  <c r="D770" i="3"/>
  <c r="AH770" i="3"/>
  <c r="F770" i="3" l="1"/>
  <c r="G770" i="3"/>
  <c r="M770" i="3" s="1"/>
  <c r="N770" i="3" s="1"/>
  <c r="V770" i="3"/>
  <c r="A771" i="3"/>
  <c r="B771" i="3" s="1"/>
  <c r="I770" i="3" l="1"/>
  <c r="W770" i="3" s="1"/>
  <c r="J770" i="3"/>
  <c r="L770" i="3" s="1"/>
  <c r="AA771" i="3"/>
  <c r="AC771" i="3"/>
  <c r="P771" i="3"/>
  <c r="Q771" i="3" s="1"/>
  <c r="R771" i="3" s="1"/>
  <c r="S771" i="3" s="1"/>
  <c r="Z771" i="3"/>
  <c r="AD771" i="3"/>
  <c r="U770" i="3" l="1"/>
  <c r="Y769" i="3"/>
  <c r="T771" i="3"/>
  <c r="AH771" i="3" s="1"/>
  <c r="E771" i="3" l="1"/>
  <c r="H771" i="3" s="1"/>
  <c r="AG771" i="3"/>
  <c r="D771" i="3"/>
  <c r="K771" i="3" l="1"/>
  <c r="AE771" i="3" s="1"/>
  <c r="F771" i="3"/>
  <c r="G771" i="3"/>
  <c r="V771" i="3" l="1"/>
  <c r="A772" i="3"/>
  <c r="B772" i="3" s="1"/>
  <c r="I771" i="3"/>
  <c r="J771" i="3"/>
  <c r="M771" i="3"/>
  <c r="N771" i="3" s="1"/>
  <c r="L771" i="3" l="1"/>
  <c r="W771" i="3"/>
  <c r="AD772" i="3"/>
  <c r="AA772" i="3"/>
  <c r="Z772" i="3"/>
  <c r="AC772" i="3"/>
  <c r="P772" i="3"/>
  <c r="Q772" i="3" s="1"/>
  <c r="R772" i="3" s="1"/>
  <c r="S772" i="3" s="1"/>
  <c r="U771" i="3" l="1"/>
  <c r="Y770" i="3"/>
  <c r="T772" i="3"/>
  <c r="E772" i="3" l="1"/>
  <c r="H772" i="3" s="1"/>
  <c r="K772" i="3" s="1"/>
  <c r="AE772" i="3" s="1"/>
  <c r="D772" i="3"/>
  <c r="G772" i="3" s="1"/>
  <c r="AG772" i="3"/>
  <c r="AH772" i="3"/>
  <c r="F772" i="3" l="1"/>
  <c r="V772" i="3"/>
  <c r="A773" i="3"/>
  <c r="B773" i="3" s="1"/>
  <c r="I772" i="3"/>
  <c r="J772" i="3"/>
  <c r="M772" i="3"/>
  <c r="N772" i="3" s="1"/>
  <c r="W772" i="3" l="1"/>
  <c r="L772" i="3"/>
  <c r="AA773" i="3"/>
  <c r="P773" i="3"/>
  <c r="Q773" i="3" s="1"/>
  <c r="R773" i="3" s="1"/>
  <c r="S773" i="3" s="1"/>
  <c r="Z773" i="3"/>
  <c r="AD773" i="3"/>
  <c r="AC773" i="3"/>
  <c r="U772" i="3" l="1"/>
  <c r="Y771" i="3"/>
  <c r="T773" i="3"/>
  <c r="AG773" i="3" s="1"/>
  <c r="D773" i="3" l="1"/>
  <c r="E773" i="3"/>
  <c r="H773" i="3" s="1"/>
  <c r="K773" i="3" s="1"/>
  <c r="AE773" i="3" s="1"/>
  <c r="AH773" i="3"/>
  <c r="F773" i="3" l="1"/>
  <c r="G773" i="3"/>
  <c r="M773" i="3" s="1"/>
  <c r="N773" i="3" s="1"/>
  <c r="V773" i="3"/>
  <c r="A774" i="3"/>
  <c r="B774" i="3" s="1"/>
  <c r="I773" i="3" l="1"/>
  <c r="W773" i="3" s="1"/>
  <c r="J773" i="3"/>
  <c r="L773" i="3" s="1"/>
  <c r="AC774" i="3"/>
  <c r="P774" i="3"/>
  <c r="Q774" i="3" s="1"/>
  <c r="R774" i="3" s="1"/>
  <c r="S774" i="3" s="1"/>
  <c r="AA774" i="3"/>
  <c r="Z774" i="3"/>
  <c r="U773" i="3" l="1"/>
  <c r="Y772" i="3"/>
  <c r="T774" i="3"/>
  <c r="AG774" i="3" s="1"/>
  <c r="E774" i="3" l="1"/>
  <c r="H774" i="3" s="1"/>
  <c r="K774" i="3" s="1"/>
  <c r="AE774" i="3" s="1"/>
  <c r="AH774" i="3"/>
  <c r="D774" i="3"/>
  <c r="F774" i="3" l="1"/>
  <c r="G774" i="3"/>
  <c r="M774" i="3" s="1"/>
  <c r="N774" i="3" s="1"/>
  <c r="V774" i="3"/>
  <c r="A775" i="3"/>
  <c r="B775" i="3" s="1"/>
  <c r="I774" i="3" l="1"/>
  <c r="W774" i="3" s="1"/>
  <c r="J774" i="3"/>
  <c r="P775" i="3"/>
  <c r="Q775" i="3" s="1"/>
  <c r="R775" i="3" s="1"/>
  <c r="S775" i="3" s="1"/>
  <c r="Z775" i="3"/>
  <c r="AD775" i="3"/>
  <c r="AA775" i="3"/>
  <c r="AC775" i="3"/>
  <c r="L774" i="3" l="1"/>
  <c r="Y773" i="3" s="1"/>
  <c r="AD774" i="3"/>
  <c r="T775" i="3"/>
  <c r="U774" i="3" l="1"/>
  <c r="D775" i="3" s="1"/>
  <c r="AG775" i="3"/>
  <c r="AH775" i="3"/>
  <c r="E775" i="3" l="1"/>
  <c r="H775" i="3" s="1"/>
  <c r="K775" i="3" s="1"/>
  <c r="AE775" i="3" s="1"/>
  <c r="G775" i="3"/>
  <c r="M775" i="3" l="1"/>
  <c r="N775" i="3" s="1"/>
  <c r="A776" i="3"/>
  <c r="B776" i="3" s="1"/>
  <c r="AD776" i="3" s="1"/>
  <c r="V775" i="3"/>
  <c r="F775" i="3"/>
  <c r="I775" i="3"/>
  <c r="J775" i="3"/>
  <c r="L775" i="3" s="1"/>
  <c r="W775" i="3" l="1"/>
  <c r="P776" i="3"/>
  <c r="Q776" i="3" s="1"/>
  <c r="R776" i="3" s="1"/>
  <c r="S776" i="3" s="1"/>
  <c r="T776" i="3" s="1"/>
  <c r="AA776" i="3"/>
  <c r="AC776" i="3"/>
  <c r="Z776" i="3"/>
  <c r="U775" i="3"/>
  <c r="Y774" i="3"/>
  <c r="AG776" i="3" l="1"/>
  <c r="AH776" i="3"/>
  <c r="E776" i="3"/>
  <c r="H776" i="3" s="1"/>
  <c r="K776" i="3" s="1"/>
  <c r="AE776" i="3" s="1"/>
  <c r="D776" i="3"/>
  <c r="G776" i="3" s="1"/>
  <c r="F776" i="3" l="1"/>
  <c r="I776" i="3"/>
  <c r="J776" i="3"/>
  <c r="M776" i="3"/>
  <c r="N776" i="3" s="1"/>
  <c r="V776" i="3"/>
  <c r="A777" i="3"/>
  <c r="B777" i="3" s="1"/>
  <c r="W776" i="3" l="1"/>
  <c r="L776" i="3"/>
  <c r="Z777" i="3"/>
  <c r="AA777" i="3"/>
  <c r="P777" i="3"/>
  <c r="Q777" i="3" s="1"/>
  <c r="R777" i="3" s="1"/>
  <c r="S777" i="3" s="1"/>
  <c r="AD777" i="3"/>
  <c r="AC777" i="3"/>
  <c r="U776" i="3" l="1"/>
  <c r="Y775" i="3"/>
  <c r="T777" i="3"/>
  <c r="AH777" i="3" s="1"/>
  <c r="E777" i="3" l="1"/>
  <c r="H777" i="3" s="1"/>
  <c r="D777" i="3"/>
  <c r="AG777" i="3"/>
  <c r="K777" i="3" l="1"/>
  <c r="AE777" i="3" s="1"/>
  <c r="F777" i="3"/>
  <c r="G777" i="3"/>
  <c r="I777" i="3" l="1"/>
  <c r="J777" i="3"/>
  <c r="M777" i="3"/>
  <c r="N777" i="3" s="1"/>
  <c r="V777" i="3"/>
  <c r="A778" i="3"/>
  <c r="B778" i="3" s="1"/>
  <c r="L777" i="3" l="1"/>
  <c r="W777" i="3"/>
  <c r="P778" i="3"/>
  <c r="Q778" i="3" s="1"/>
  <c r="R778" i="3" s="1"/>
  <c r="S778" i="3" s="1"/>
  <c r="Z778" i="3"/>
  <c r="AD778" i="3"/>
  <c r="AA778" i="3"/>
  <c r="AC778" i="3"/>
  <c r="U777" i="3" l="1"/>
  <c r="Y776" i="3"/>
  <c r="T778" i="3"/>
  <c r="AH778" i="3" s="1"/>
  <c r="E778" i="3" l="1"/>
  <c r="H778" i="3" s="1"/>
  <c r="K778" i="3" s="1"/>
  <c r="AE778" i="3" s="1"/>
  <c r="AG778" i="3"/>
  <c r="D778" i="3"/>
  <c r="G778" i="3" s="1"/>
  <c r="F778" i="3" l="1"/>
  <c r="I778" i="3"/>
  <c r="J778" i="3"/>
  <c r="M778" i="3"/>
  <c r="N778" i="3" s="1"/>
  <c r="V778" i="3"/>
  <c r="A779" i="3"/>
  <c r="B779" i="3" s="1"/>
  <c r="W778" i="3" l="1"/>
  <c r="L778" i="3"/>
  <c r="P779" i="3"/>
  <c r="Q779" i="3" s="1"/>
  <c r="R779" i="3" s="1"/>
  <c r="S779" i="3" s="1"/>
  <c r="AA779" i="3"/>
  <c r="AC779" i="3"/>
  <c r="AD779" i="3"/>
  <c r="Z779" i="3"/>
  <c r="U778" i="3" l="1"/>
  <c r="Y777" i="3"/>
  <c r="T779" i="3"/>
  <c r="E779" i="3" l="1"/>
  <c r="H779" i="3" s="1"/>
  <c r="K779" i="3" s="1"/>
  <c r="AE779" i="3" s="1"/>
  <c r="AG779" i="3"/>
  <c r="AH779" i="3"/>
  <c r="D779" i="3"/>
  <c r="G779" i="3" s="1"/>
  <c r="F779" i="3" l="1"/>
  <c r="I779" i="3"/>
  <c r="J779" i="3"/>
  <c r="M779" i="3"/>
  <c r="N779" i="3" s="1"/>
  <c r="V779" i="3"/>
  <c r="A780" i="3"/>
  <c r="B780" i="3" s="1"/>
  <c r="W779" i="3" l="1"/>
  <c r="L779" i="3"/>
  <c r="P780" i="3"/>
  <c r="Q780" i="3" s="1"/>
  <c r="R780" i="3" s="1"/>
  <c r="S780" i="3" s="1"/>
  <c r="AD780" i="3"/>
  <c r="AA780" i="3"/>
  <c r="Z780" i="3"/>
  <c r="AC780" i="3"/>
  <c r="U779" i="3" l="1"/>
  <c r="Y778" i="3"/>
  <c r="T780" i="3"/>
  <c r="D780" i="3" l="1"/>
  <c r="G780" i="3" s="1"/>
  <c r="AH780" i="3"/>
  <c r="E780" i="3"/>
  <c r="H780" i="3" s="1"/>
  <c r="K780" i="3" s="1"/>
  <c r="AE780" i="3" s="1"/>
  <c r="AG780" i="3"/>
  <c r="F780" i="3" l="1"/>
  <c r="I780" i="3"/>
  <c r="J780" i="3"/>
  <c r="M780" i="3"/>
  <c r="N780" i="3" s="1"/>
  <c r="V780" i="3"/>
  <c r="A781" i="3"/>
  <c r="B781" i="3" s="1"/>
  <c r="W780" i="3" l="1"/>
  <c r="L780" i="3"/>
  <c r="P781" i="3"/>
  <c r="Q781" i="3" s="1"/>
  <c r="R781" i="3" s="1"/>
  <c r="S781" i="3" s="1"/>
  <c r="AD781" i="3"/>
  <c r="Z781" i="3"/>
  <c r="AA781" i="3"/>
  <c r="AC781" i="3"/>
  <c r="T781" i="3" l="1"/>
  <c r="U780" i="3"/>
  <c r="Y779" i="3"/>
  <c r="E781" i="3" l="1"/>
  <c r="H781" i="3" s="1"/>
  <c r="K781" i="3" s="1"/>
  <c r="AE781" i="3" s="1"/>
  <c r="AG781" i="3"/>
  <c r="AH781" i="3"/>
  <c r="D781" i="3"/>
  <c r="F781" i="3" l="1"/>
  <c r="G781" i="3"/>
  <c r="V781" i="3"/>
  <c r="A782" i="3"/>
  <c r="B782" i="3" s="1"/>
  <c r="P782" i="3" l="1"/>
  <c r="Q782" i="3" s="1"/>
  <c r="R782" i="3" s="1"/>
  <c r="S782" i="3" s="1"/>
  <c r="AC782" i="3"/>
  <c r="AD782" i="3"/>
  <c r="AA782" i="3"/>
  <c r="Z782" i="3"/>
  <c r="I781" i="3"/>
  <c r="W781" i="3" s="1"/>
  <c r="J781" i="3"/>
  <c r="M781" i="3"/>
  <c r="N781" i="3" s="1"/>
  <c r="T782" i="3" l="1"/>
  <c r="L781" i="3"/>
  <c r="U781" i="3" l="1"/>
  <c r="D782" i="3" s="1"/>
  <c r="AH782" i="3"/>
  <c r="AG782" i="3"/>
  <c r="Y780" i="3"/>
  <c r="E782" i="3" l="1"/>
  <c r="H782" i="3" s="1"/>
  <c r="K782" i="3" s="1"/>
  <c r="AE782" i="3" s="1"/>
  <c r="G782" i="3"/>
  <c r="F782" i="3" l="1"/>
  <c r="I782" i="3"/>
  <c r="J782" i="3"/>
  <c r="M782" i="3"/>
  <c r="N782" i="3" s="1"/>
  <c r="V782" i="3"/>
  <c r="A783" i="3"/>
  <c r="B783" i="3" s="1"/>
  <c r="W782" i="3" l="1"/>
  <c r="L782" i="3"/>
  <c r="AA783" i="3"/>
  <c r="Z783" i="3"/>
  <c r="P783" i="3"/>
  <c r="Q783" i="3" s="1"/>
  <c r="R783" i="3" s="1"/>
  <c r="S783" i="3" s="1"/>
  <c r="AD783" i="3"/>
  <c r="AC783" i="3"/>
  <c r="U782" i="3" l="1"/>
  <c r="Y781" i="3"/>
  <c r="T783" i="3"/>
  <c r="AH783" i="3" s="1"/>
  <c r="AG783" i="3" l="1"/>
  <c r="D783" i="3"/>
  <c r="G783" i="3" s="1"/>
  <c r="E783" i="3"/>
  <c r="H783" i="3" s="1"/>
  <c r="K783" i="3" s="1"/>
  <c r="AE783" i="3" s="1"/>
  <c r="F783" i="3" l="1"/>
  <c r="I783" i="3"/>
  <c r="J783" i="3"/>
  <c r="M783" i="3"/>
  <c r="N783" i="3" s="1"/>
  <c r="V783" i="3"/>
  <c r="A784" i="3"/>
  <c r="B784" i="3" s="1"/>
  <c r="W783" i="3" l="1"/>
  <c r="L783" i="3"/>
  <c r="AC784" i="3"/>
  <c r="Z784" i="3"/>
  <c r="P784" i="3"/>
  <c r="Q784" i="3" s="1"/>
  <c r="R784" i="3" s="1"/>
  <c r="S784" i="3" s="1"/>
  <c r="AA784" i="3"/>
  <c r="T784" i="3" l="1"/>
  <c r="AG784" i="3" s="1"/>
  <c r="U783" i="3"/>
  <c r="Y782" i="3"/>
  <c r="E784" i="3" l="1"/>
  <c r="H784" i="3" s="1"/>
  <c r="AH784" i="3"/>
  <c r="D784" i="3"/>
  <c r="K784" i="3" l="1"/>
  <c r="AE784" i="3" s="1"/>
  <c r="F784" i="3"/>
  <c r="G784" i="3"/>
  <c r="V784" i="3" l="1"/>
  <c r="A785" i="3"/>
  <c r="B785" i="3" s="1"/>
  <c r="I784" i="3"/>
  <c r="J784" i="3"/>
  <c r="AD784" i="3" s="1"/>
  <c r="M784" i="3"/>
  <c r="N784" i="3" s="1"/>
  <c r="W784" i="3" l="1"/>
  <c r="L784" i="3"/>
  <c r="AA785" i="3"/>
  <c r="AD785" i="3"/>
  <c r="P785" i="3"/>
  <c r="Q785" i="3" s="1"/>
  <c r="R785" i="3" s="1"/>
  <c r="S785" i="3" s="1"/>
  <c r="AC785" i="3"/>
  <c r="Z785" i="3"/>
  <c r="U784" i="3" l="1"/>
  <c r="Y783" i="3"/>
  <c r="T785" i="3"/>
  <c r="AH785" i="3" s="1"/>
  <c r="E785" i="3" l="1"/>
  <c r="H785" i="3" s="1"/>
  <c r="AG785" i="3"/>
  <c r="D785" i="3"/>
  <c r="K785" i="3" l="1"/>
  <c r="AE785" i="3" s="1"/>
  <c r="F785" i="3"/>
  <c r="G785" i="3"/>
  <c r="I785" i="3" l="1"/>
  <c r="J785" i="3"/>
  <c r="M785" i="3"/>
  <c r="N785" i="3" s="1"/>
  <c r="V785" i="3"/>
  <c r="A786" i="3"/>
  <c r="B786" i="3" s="1"/>
  <c r="W785" i="3" l="1"/>
  <c r="L785" i="3"/>
  <c r="Z786" i="3"/>
  <c r="AD786" i="3"/>
  <c r="AA786" i="3"/>
  <c r="P786" i="3"/>
  <c r="Q786" i="3" s="1"/>
  <c r="R786" i="3" s="1"/>
  <c r="S786" i="3" s="1"/>
  <c r="AC786" i="3"/>
  <c r="U785" i="3" l="1"/>
  <c r="Y784" i="3"/>
  <c r="T786" i="3"/>
  <c r="E786" i="3" l="1"/>
  <c r="H786" i="3" s="1"/>
  <c r="K786" i="3" s="1"/>
  <c r="AE786" i="3" s="1"/>
  <c r="AG786" i="3"/>
  <c r="D786" i="3"/>
  <c r="G786" i="3" s="1"/>
  <c r="AH786" i="3"/>
  <c r="F786" i="3" l="1"/>
  <c r="I786" i="3"/>
  <c r="J786" i="3"/>
  <c r="M786" i="3"/>
  <c r="N786" i="3" s="1"/>
  <c r="V786" i="3"/>
  <c r="A787" i="3"/>
  <c r="B787" i="3" s="1"/>
  <c r="L786" i="3" l="1"/>
  <c r="W786" i="3"/>
  <c r="AC787" i="3"/>
  <c r="P787" i="3"/>
  <c r="Q787" i="3" s="1"/>
  <c r="R787" i="3" s="1"/>
  <c r="S787" i="3" s="1"/>
  <c r="Z787" i="3"/>
  <c r="AD787" i="3"/>
  <c r="AA787" i="3"/>
  <c r="U786" i="3" l="1"/>
  <c r="Y785" i="3"/>
  <c r="T787" i="3"/>
  <c r="D787" i="3" l="1"/>
  <c r="G787" i="3" s="1"/>
  <c r="AH787" i="3"/>
  <c r="E787" i="3"/>
  <c r="H787" i="3" s="1"/>
  <c r="AG787" i="3"/>
  <c r="F787" i="3" l="1"/>
  <c r="I787" i="3"/>
  <c r="J787" i="3"/>
  <c r="M787" i="3"/>
  <c r="N787" i="3" s="1"/>
  <c r="K787" i="3"/>
  <c r="AE787" i="3" s="1"/>
  <c r="V787" i="3" l="1"/>
  <c r="W787" i="3" s="1"/>
  <c r="A788" i="3"/>
  <c r="B788" i="3" s="1"/>
  <c r="L787" i="3"/>
  <c r="U787" i="3" l="1"/>
  <c r="Y786" i="3"/>
  <c r="AC788" i="3"/>
  <c r="Z788" i="3"/>
  <c r="AD788" i="3"/>
  <c r="AA788" i="3"/>
  <c r="P788" i="3"/>
  <c r="Q788" i="3" s="1"/>
  <c r="R788" i="3" s="1"/>
  <c r="S788" i="3" s="1"/>
  <c r="T788" i="3" l="1"/>
  <c r="E788" i="3" s="1"/>
  <c r="H788" i="3" s="1"/>
  <c r="D788" i="3" l="1"/>
  <c r="F788" i="3" s="1"/>
  <c r="AG788" i="3"/>
  <c r="AH788" i="3"/>
  <c r="K788" i="3"/>
  <c r="AE788" i="3" s="1"/>
  <c r="G788" i="3" l="1"/>
  <c r="I788" i="3" s="1"/>
  <c r="V788" i="3"/>
  <c r="A789" i="3"/>
  <c r="B789" i="3" s="1"/>
  <c r="M788" i="3" l="1"/>
  <c r="N788" i="3" s="1"/>
  <c r="J788" i="3"/>
  <c r="L788" i="3" s="1"/>
  <c r="W788" i="3"/>
  <c r="P789" i="3"/>
  <c r="Q789" i="3" s="1"/>
  <c r="R789" i="3" s="1"/>
  <c r="S789" i="3" s="1"/>
  <c r="AC789" i="3"/>
  <c r="AD789" i="3"/>
  <c r="AA789" i="3"/>
  <c r="Z789" i="3"/>
  <c r="U788" i="3" l="1"/>
  <c r="Y787" i="3"/>
  <c r="T789" i="3"/>
  <c r="D789" i="3" l="1"/>
  <c r="G789" i="3" s="1"/>
  <c r="E789" i="3"/>
  <c r="H789" i="3" s="1"/>
  <c r="AH789" i="3"/>
  <c r="AG789" i="3"/>
  <c r="F789" i="3" l="1"/>
  <c r="I789" i="3"/>
  <c r="J789" i="3"/>
  <c r="M789" i="3"/>
  <c r="N789" i="3" s="1"/>
  <c r="K789" i="3"/>
  <c r="AE789" i="3" s="1"/>
  <c r="L789" i="3" l="1"/>
  <c r="V789" i="3"/>
  <c r="W789" i="3" s="1"/>
  <c r="A790" i="3"/>
  <c r="B790" i="3" s="1"/>
  <c r="AA790" i="3" l="1"/>
  <c r="AC790" i="3"/>
  <c r="Z790" i="3"/>
  <c r="AD790" i="3"/>
  <c r="P790" i="3"/>
  <c r="Q790" i="3" s="1"/>
  <c r="R790" i="3" s="1"/>
  <c r="S790" i="3" s="1"/>
  <c r="U789" i="3"/>
  <c r="Y788" i="3"/>
  <c r="T790" i="3" l="1"/>
  <c r="D790" i="3" s="1"/>
  <c r="AG790" i="3" l="1"/>
  <c r="G790" i="3"/>
  <c r="AH790" i="3"/>
  <c r="E790" i="3"/>
  <c r="H790" i="3" s="1"/>
  <c r="F790" i="3" l="1"/>
  <c r="I790" i="3"/>
  <c r="J790" i="3"/>
  <c r="M790" i="3"/>
  <c r="N790" i="3" s="1"/>
  <c r="K790" i="3"/>
  <c r="AE790" i="3" s="1"/>
  <c r="V790" i="3" l="1"/>
  <c r="W790" i="3" s="1"/>
  <c r="A791" i="3"/>
  <c r="B791" i="3" s="1"/>
  <c r="L790" i="3"/>
  <c r="U790" i="3" l="1"/>
  <c r="Y789" i="3"/>
  <c r="AD791" i="3"/>
  <c r="P791" i="3"/>
  <c r="Q791" i="3" s="1"/>
  <c r="R791" i="3" s="1"/>
  <c r="S791" i="3" s="1"/>
  <c r="AA791" i="3"/>
  <c r="AC791" i="3"/>
  <c r="Z791" i="3"/>
  <c r="T791" i="3" l="1"/>
  <c r="AG791" i="3" s="1"/>
  <c r="E791" i="3" l="1"/>
  <c r="H791" i="3" s="1"/>
  <c r="K791" i="3" s="1"/>
  <c r="AE791" i="3" s="1"/>
  <c r="D791" i="3"/>
  <c r="G791" i="3" s="1"/>
  <c r="AH791" i="3"/>
  <c r="F791" i="3" l="1"/>
  <c r="I791" i="3"/>
  <c r="J791" i="3"/>
  <c r="M791" i="3"/>
  <c r="N791" i="3" s="1"/>
  <c r="V791" i="3"/>
  <c r="A792" i="3"/>
  <c r="B792" i="3" s="1"/>
  <c r="W791" i="3" l="1"/>
  <c r="L791" i="3"/>
  <c r="P792" i="3"/>
  <c r="Q792" i="3" s="1"/>
  <c r="R792" i="3" s="1"/>
  <c r="S792" i="3" s="1"/>
  <c r="AC792" i="3"/>
  <c r="AD792" i="3"/>
  <c r="Z792" i="3"/>
  <c r="AA792" i="3"/>
  <c r="U791" i="3" l="1"/>
  <c r="Y790" i="3"/>
  <c r="T792" i="3"/>
  <c r="AG792" i="3" s="1"/>
  <c r="AH792" i="3" l="1"/>
  <c r="D792" i="3"/>
  <c r="E792" i="3"/>
  <c r="H792" i="3" s="1"/>
  <c r="F792" i="3" l="1"/>
  <c r="G792" i="3"/>
  <c r="K792" i="3"/>
  <c r="AE792" i="3" s="1"/>
  <c r="I792" i="3" l="1"/>
  <c r="J792" i="3"/>
  <c r="M792" i="3"/>
  <c r="N792" i="3" s="1"/>
  <c r="V792" i="3"/>
  <c r="A793" i="3"/>
  <c r="B793" i="3" s="1"/>
  <c r="L792" i="3" l="1"/>
  <c r="W792" i="3"/>
  <c r="AD793" i="3"/>
  <c r="AC793" i="3"/>
  <c r="Z793" i="3"/>
  <c r="P793" i="3"/>
  <c r="Q793" i="3" s="1"/>
  <c r="R793" i="3" s="1"/>
  <c r="S793" i="3" s="1"/>
  <c r="AA793" i="3"/>
  <c r="T793" i="3" l="1"/>
  <c r="U792" i="3"/>
  <c r="Y791" i="3"/>
  <c r="E793" i="3" l="1"/>
  <c r="H793" i="3" s="1"/>
  <c r="K793" i="3" s="1"/>
  <c r="AE793" i="3" s="1"/>
  <c r="D793" i="3"/>
  <c r="AG793" i="3"/>
  <c r="AH793" i="3"/>
  <c r="F793" i="3" l="1"/>
  <c r="G793" i="3"/>
  <c r="M793" i="3" s="1"/>
  <c r="N793" i="3" s="1"/>
  <c r="V793" i="3"/>
  <c r="A794" i="3"/>
  <c r="B794" i="3" s="1"/>
  <c r="I793" i="3" l="1"/>
  <c r="W793" i="3" s="1"/>
  <c r="J793" i="3"/>
  <c r="L793" i="3" s="1"/>
  <c r="Z794" i="3"/>
  <c r="AC794" i="3"/>
  <c r="P794" i="3"/>
  <c r="Q794" i="3" s="1"/>
  <c r="R794" i="3" s="1"/>
  <c r="S794" i="3" s="1"/>
  <c r="AA794" i="3"/>
  <c r="T794" i="3" l="1"/>
  <c r="AH794" i="3" s="1"/>
  <c r="U793" i="3"/>
  <c r="Y792" i="3"/>
  <c r="AG794" i="3" l="1"/>
  <c r="D794" i="3"/>
  <c r="E794" i="3"/>
  <c r="H794" i="3" s="1"/>
  <c r="F794" i="3" l="1"/>
  <c r="G794" i="3"/>
  <c r="K794" i="3"/>
  <c r="AE794" i="3" s="1"/>
  <c r="I794" i="3" l="1"/>
  <c r="J794" i="3"/>
  <c r="AD794" i="3" s="1"/>
  <c r="M794" i="3"/>
  <c r="N794" i="3" s="1"/>
  <c r="V794" i="3"/>
  <c r="A795" i="3"/>
  <c r="B795" i="3" s="1"/>
  <c r="L794" i="3" l="1"/>
  <c r="W794" i="3"/>
  <c r="P795" i="3"/>
  <c r="Q795" i="3" s="1"/>
  <c r="R795" i="3" s="1"/>
  <c r="S795" i="3" s="1"/>
  <c r="Z795" i="3"/>
  <c r="AA795" i="3"/>
  <c r="AC795" i="3"/>
  <c r="T795" i="3" l="1"/>
  <c r="U794" i="3"/>
  <c r="Y793" i="3"/>
  <c r="D795" i="3" l="1"/>
  <c r="G795" i="3" s="1"/>
  <c r="E795" i="3"/>
  <c r="H795" i="3" s="1"/>
  <c r="K795" i="3" s="1"/>
  <c r="AE795" i="3" s="1"/>
  <c r="AH795" i="3"/>
  <c r="AG795" i="3"/>
  <c r="F795" i="3" l="1"/>
  <c r="I795" i="3"/>
  <c r="J795" i="3"/>
  <c r="AD795" i="3" s="1"/>
  <c r="M795" i="3"/>
  <c r="N795" i="3" s="1"/>
  <c r="V795" i="3"/>
  <c r="A796" i="3"/>
  <c r="B796" i="3" s="1"/>
  <c r="W795" i="3" l="1"/>
  <c r="L795" i="3"/>
  <c r="Z796" i="3"/>
  <c r="AA796" i="3"/>
  <c r="AC796" i="3"/>
  <c r="P796" i="3"/>
  <c r="Q796" i="3" s="1"/>
  <c r="R796" i="3" s="1"/>
  <c r="S796" i="3" s="1"/>
  <c r="T796" i="3" l="1"/>
  <c r="U795" i="3"/>
  <c r="Y794" i="3"/>
  <c r="E796" i="3" l="1"/>
  <c r="H796" i="3" s="1"/>
  <c r="K796" i="3" s="1"/>
  <c r="AE796" i="3" s="1"/>
  <c r="AH796" i="3"/>
  <c r="AG796" i="3"/>
  <c r="D796" i="3"/>
  <c r="F796" i="3" l="1"/>
  <c r="G796" i="3"/>
  <c r="V796" i="3"/>
  <c r="A797" i="3"/>
  <c r="B797" i="3" s="1"/>
  <c r="I796" i="3" l="1"/>
  <c r="W796" i="3" s="1"/>
  <c r="J796" i="3"/>
  <c r="AD796" i="3" s="1"/>
  <c r="M796" i="3"/>
  <c r="N796" i="3" s="1"/>
  <c r="P797" i="3"/>
  <c r="Q797" i="3" s="1"/>
  <c r="R797" i="3" s="1"/>
  <c r="S797" i="3" s="1"/>
  <c r="AA797" i="3"/>
  <c r="AC797" i="3"/>
  <c r="Z797" i="3"/>
  <c r="T797" i="3" l="1"/>
  <c r="L796" i="3"/>
  <c r="AH797" i="3" l="1"/>
  <c r="AG797" i="3"/>
  <c r="U796" i="3"/>
  <c r="E797" i="3" s="1"/>
  <c r="H797" i="3" s="1"/>
  <c r="Y795" i="3"/>
  <c r="D797" i="3" l="1"/>
  <c r="G797" i="3" s="1"/>
  <c r="K797" i="3"/>
  <c r="AE797" i="3" s="1"/>
  <c r="F797" i="3" l="1"/>
  <c r="I797" i="3"/>
  <c r="J797" i="3"/>
  <c r="AD797" i="3" s="1"/>
  <c r="M797" i="3"/>
  <c r="N797" i="3" s="1"/>
  <c r="V797" i="3"/>
  <c r="A798" i="3"/>
  <c r="B798" i="3" s="1"/>
  <c r="W797" i="3" l="1"/>
  <c r="L797" i="3"/>
  <c r="Z798" i="3"/>
  <c r="AA798" i="3"/>
  <c r="P798" i="3"/>
  <c r="Q798" i="3" s="1"/>
  <c r="R798" i="3" s="1"/>
  <c r="S798" i="3" s="1"/>
  <c r="AC798" i="3"/>
  <c r="T798" i="3" l="1"/>
  <c r="U797" i="3"/>
  <c r="Y796" i="3"/>
  <c r="E798" i="3" l="1"/>
  <c r="H798" i="3" s="1"/>
  <c r="K798" i="3" s="1"/>
  <c r="AE798" i="3" s="1"/>
  <c r="D798" i="3"/>
  <c r="G798" i="3" s="1"/>
  <c r="AH798" i="3"/>
  <c r="AG798" i="3"/>
  <c r="F798" i="3" l="1"/>
  <c r="I798" i="3"/>
  <c r="J798" i="3"/>
  <c r="AD798" i="3" s="1"/>
  <c r="M798" i="3"/>
  <c r="N798" i="3" s="1"/>
  <c r="V798" i="3"/>
  <c r="A799" i="3"/>
  <c r="B799" i="3" s="1"/>
  <c r="W798" i="3" l="1"/>
  <c r="L798" i="3"/>
  <c r="Z799" i="3"/>
  <c r="P799" i="3"/>
  <c r="Q799" i="3" s="1"/>
  <c r="R799" i="3" s="1"/>
  <c r="S799" i="3" s="1"/>
  <c r="AC799" i="3"/>
  <c r="AA799" i="3"/>
  <c r="T799" i="3" l="1"/>
  <c r="AH799" i="3" s="1"/>
  <c r="U798" i="3"/>
  <c r="Y797" i="3"/>
  <c r="AG799" i="3" l="1"/>
  <c r="E799" i="3"/>
  <c r="H799" i="3" s="1"/>
  <c r="D799" i="3"/>
  <c r="K799" i="3" l="1"/>
  <c r="AE799" i="3" s="1"/>
  <c r="F799" i="3"/>
  <c r="G799" i="3"/>
  <c r="V799" i="3" l="1"/>
  <c r="A800" i="3"/>
  <c r="B800" i="3" s="1"/>
  <c r="I799" i="3"/>
  <c r="J799" i="3"/>
  <c r="AD799" i="3" s="1"/>
  <c r="M799" i="3"/>
  <c r="N799" i="3" s="1"/>
  <c r="W799" i="3" l="1"/>
  <c r="L799" i="3"/>
  <c r="AC800" i="3"/>
  <c r="AA800" i="3"/>
  <c r="P800" i="3"/>
  <c r="Q800" i="3" s="1"/>
  <c r="R800" i="3" s="1"/>
  <c r="S800" i="3" s="1"/>
  <c r="Z800" i="3"/>
  <c r="U799" i="3" l="1"/>
  <c r="Y798" i="3"/>
  <c r="T800" i="3"/>
  <c r="E800" i="3" l="1"/>
  <c r="H800" i="3" s="1"/>
  <c r="K800" i="3" s="1"/>
  <c r="AE800" i="3" s="1"/>
  <c r="D800" i="3"/>
  <c r="AG800" i="3"/>
  <c r="AH800" i="3"/>
  <c r="V800" i="3" l="1"/>
  <c r="A801" i="3"/>
  <c r="B801" i="3" s="1"/>
  <c r="F800" i="3"/>
  <c r="G800" i="3"/>
  <c r="I800" i="3" l="1"/>
  <c r="W800" i="3" s="1"/>
  <c r="J800" i="3"/>
  <c r="AD800" i="3" s="1"/>
  <c r="M800" i="3"/>
  <c r="N800" i="3" s="1"/>
  <c r="AA801" i="3"/>
  <c r="Z801" i="3"/>
  <c r="P801" i="3"/>
  <c r="Q801" i="3" s="1"/>
  <c r="R801" i="3" s="1"/>
  <c r="S801" i="3" s="1"/>
  <c r="AC801" i="3"/>
  <c r="L800" i="3" l="1"/>
  <c r="T801" i="3"/>
  <c r="AG801" i="3" l="1"/>
  <c r="AH801" i="3"/>
  <c r="U800" i="3"/>
  <c r="E801" i="3" s="1"/>
  <c r="H801" i="3" s="1"/>
  <c r="Y799" i="3"/>
  <c r="D801" i="3" l="1"/>
  <c r="G801" i="3" s="1"/>
  <c r="K801" i="3"/>
  <c r="AE801" i="3" s="1"/>
  <c r="F801" i="3" l="1"/>
  <c r="I801" i="3"/>
  <c r="J801" i="3"/>
  <c r="AD801" i="3" s="1"/>
  <c r="M801" i="3"/>
  <c r="N801" i="3" s="1"/>
  <c r="V801" i="3"/>
  <c r="A802" i="3"/>
  <c r="B802" i="3" s="1"/>
  <c r="W801" i="3" l="1"/>
  <c r="L801" i="3"/>
  <c r="Z802" i="3"/>
  <c r="P802" i="3"/>
  <c r="Q802" i="3" s="1"/>
  <c r="R802" i="3" s="1"/>
  <c r="S802" i="3" s="1"/>
  <c r="AA802" i="3"/>
  <c r="AC802" i="3"/>
  <c r="U801" i="3" l="1"/>
  <c r="Y800" i="3"/>
  <c r="T802" i="3"/>
  <c r="AG802" i="3" s="1"/>
  <c r="E802" i="3" l="1"/>
  <c r="H802" i="3" s="1"/>
  <c r="D802" i="3"/>
  <c r="AH802" i="3"/>
  <c r="K802" i="3" l="1"/>
  <c r="AE802" i="3" s="1"/>
  <c r="F802" i="3"/>
  <c r="G802" i="3"/>
  <c r="I802" i="3" l="1"/>
  <c r="J802" i="3"/>
  <c r="AD802" i="3" s="1"/>
  <c r="M802" i="3"/>
  <c r="N802" i="3" s="1"/>
  <c r="V802" i="3"/>
  <c r="A803" i="3"/>
  <c r="B803" i="3" s="1"/>
  <c r="L802" i="3" l="1"/>
  <c r="W802" i="3"/>
  <c r="Z803" i="3"/>
  <c r="AA803" i="3"/>
  <c r="AC803" i="3"/>
  <c r="P803" i="3"/>
  <c r="Q803" i="3" s="1"/>
  <c r="R803" i="3" s="1"/>
  <c r="S803" i="3" s="1"/>
  <c r="U802" i="3" l="1"/>
  <c r="Y801" i="3"/>
  <c r="T803" i="3"/>
  <c r="AG803" i="3" s="1"/>
  <c r="AH803" i="3" l="1"/>
  <c r="D803" i="3"/>
  <c r="E803" i="3"/>
  <c r="H803" i="3" s="1"/>
  <c r="F803" i="3" l="1"/>
  <c r="G803" i="3"/>
  <c r="K803" i="3"/>
  <c r="AE803" i="3" s="1"/>
  <c r="V803" i="3" l="1"/>
  <c r="A804" i="3"/>
  <c r="B804" i="3" s="1"/>
  <c r="I803" i="3"/>
  <c r="J803" i="3"/>
  <c r="AD803" i="3" s="1"/>
  <c r="M803" i="3"/>
  <c r="N803" i="3" s="1"/>
  <c r="L803" i="3" l="1"/>
  <c r="W803" i="3"/>
  <c r="AC804" i="3"/>
  <c r="P804" i="3"/>
  <c r="Q804" i="3" s="1"/>
  <c r="R804" i="3" s="1"/>
  <c r="S804" i="3" s="1"/>
  <c r="AA804" i="3"/>
  <c r="Z804" i="3"/>
  <c r="U803" i="3" l="1"/>
  <c r="Y802" i="3"/>
  <c r="T804" i="3"/>
  <c r="AH804" i="3" s="1"/>
  <c r="D804" i="3" l="1"/>
  <c r="G804" i="3" s="1"/>
  <c r="AG804" i="3"/>
  <c r="E804" i="3"/>
  <c r="H804" i="3" s="1"/>
  <c r="K804" i="3" s="1"/>
  <c r="AE804" i="3" s="1"/>
  <c r="F804" i="3" l="1"/>
  <c r="I804" i="3"/>
  <c r="J804" i="3"/>
  <c r="AD804" i="3" s="1"/>
  <c r="M804" i="3"/>
  <c r="N804" i="3" s="1"/>
  <c r="V804" i="3"/>
  <c r="A805" i="3"/>
  <c r="B805" i="3" s="1"/>
  <c r="W804" i="3" l="1"/>
  <c r="L804" i="3"/>
  <c r="Z805" i="3"/>
  <c r="P805" i="3"/>
  <c r="Q805" i="3" s="1"/>
  <c r="R805" i="3" s="1"/>
  <c r="S805" i="3" s="1"/>
  <c r="AC805" i="3"/>
  <c r="AA805" i="3"/>
  <c r="T805" i="3" l="1"/>
  <c r="AH805" i="3" s="1"/>
  <c r="U804" i="3"/>
  <c r="Y803" i="3"/>
  <c r="E805" i="3" l="1"/>
  <c r="H805" i="3" s="1"/>
  <c r="AG805" i="3"/>
  <c r="D805" i="3"/>
  <c r="K805" i="3" l="1"/>
  <c r="AE805" i="3" s="1"/>
  <c r="F805" i="3"/>
  <c r="G805" i="3"/>
  <c r="I805" i="3" l="1"/>
  <c r="J805" i="3"/>
  <c r="AD805" i="3" s="1"/>
  <c r="M805" i="3"/>
  <c r="N805" i="3" s="1"/>
  <c r="V805" i="3"/>
  <c r="A806" i="3"/>
  <c r="B806" i="3" s="1"/>
  <c r="W805" i="3" l="1"/>
  <c r="L805" i="3"/>
  <c r="Z806" i="3"/>
  <c r="AA806" i="3"/>
  <c r="P806" i="3"/>
  <c r="Q806" i="3" s="1"/>
  <c r="R806" i="3" s="1"/>
  <c r="S806" i="3" s="1"/>
  <c r="AC806" i="3"/>
  <c r="T806" i="3" l="1"/>
  <c r="U805" i="3"/>
  <c r="Y804" i="3"/>
  <c r="D806" i="3" l="1"/>
  <c r="G806" i="3" s="1"/>
  <c r="AH806" i="3"/>
  <c r="AG806" i="3"/>
  <c r="E806" i="3"/>
  <c r="H806" i="3" s="1"/>
  <c r="K806" i="3" l="1"/>
  <c r="AE806" i="3" s="1"/>
  <c r="I806" i="3"/>
  <c r="J806" i="3"/>
  <c r="AD806" i="3" s="1"/>
  <c r="M806" i="3"/>
  <c r="N806" i="3" s="1"/>
  <c r="F806" i="3"/>
  <c r="L806" i="3" l="1"/>
  <c r="V806" i="3"/>
  <c r="W806" i="3" s="1"/>
  <c r="A807" i="3"/>
  <c r="B807" i="3" s="1"/>
  <c r="AC807" i="3" l="1"/>
  <c r="P807" i="3"/>
  <c r="Q807" i="3" s="1"/>
  <c r="R807" i="3" s="1"/>
  <c r="S807" i="3" s="1"/>
  <c r="AA807" i="3"/>
  <c r="Z807" i="3"/>
  <c r="U806" i="3"/>
  <c r="Y805" i="3"/>
  <c r="T807" i="3" l="1"/>
  <c r="AH807" i="3" l="1"/>
  <c r="AG807" i="3"/>
  <c r="E807" i="3"/>
  <c r="H807" i="3" s="1"/>
  <c r="D807" i="3"/>
  <c r="K807" i="3" l="1"/>
  <c r="AE807" i="3" s="1"/>
  <c r="F807" i="3"/>
  <c r="G807" i="3"/>
  <c r="I807" i="3" l="1"/>
  <c r="J807" i="3"/>
  <c r="AD807" i="3" s="1"/>
  <c r="M807" i="3"/>
  <c r="N807" i="3" s="1"/>
  <c r="V807" i="3"/>
  <c r="A808" i="3"/>
  <c r="B808" i="3" s="1"/>
  <c r="W807" i="3" l="1"/>
  <c r="L807" i="3"/>
  <c r="P808" i="3"/>
  <c r="Q808" i="3" s="1"/>
  <c r="R808" i="3" s="1"/>
  <c r="S808" i="3" s="1"/>
  <c r="AA808" i="3"/>
  <c r="Z808" i="3"/>
  <c r="AC808" i="3"/>
  <c r="U807" i="3" l="1"/>
  <c r="Y806" i="3"/>
  <c r="T808" i="3"/>
  <c r="AH808" i="3" s="1"/>
  <c r="D808" i="3" l="1"/>
  <c r="G808" i="3" s="1"/>
  <c r="E808" i="3"/>
  <c r="H808" i="3" s="1"/>
  <c r="K808" i="3" s="1"/>
  <c r="AE808" i="3" s="1"/>
  <c r="AG808" i="3"/>
  <c r="F808" i="3" l="1"/>
  <c r="I808" i="3"/>
  <c r="J808" i="3"/>
  <c r="AD808" i="3" s="1"/>
  <c r="M808" i="3"/>
  <c r="N808" i="3" s="1"/>
  <c r="V808" i="3"/>
  <c r="A809" i="3"/>
  <c r="B809" i="3" s="1"/>
  <c r="W808" i="3" l="1"/>
  <c r="AC809" i="3"/>
  <c r="Z809" i="3"/>
  <c r="AA809" i="3"/>
  <c r="P809" i="3"/>
  <c r="Q809" i="3" s="1"/>
  <c r="R809" i="3" s="1"/>
  <c r="S809" i="3" s="1"/>
  <c r="L808" i="3"/>
  <c r="T809" i="3" l="1"/>
  <c r="U808" i="3"/>
  <c r="Y807" i="3"/>
  <c r="E809" i="3" l="1"/>
  <c r="H809" i="3" s="1"/>
  <c r="K809" i="3" s="1"/>
  <c r="AE809" i="3" s="1"/>
  <c r="AG809" i="3"/>
  <c r="D809" i="3"/>
  <c r="AH809" i="3"/>
  <c r="V809" i="3" l="1"/>
  <c r="A810" i="3"/>
  <c r="B810" i="3" s="1"/>
  <c r="F809" i="3"/>
  <c r="G809" i="3"/>
  <c r="I809" i="3" l="1"/>
  <c r="W809" i="3" s="1"/>
  <c r="J809" i="3"/>
  <c r="AD809" i="3" s="1"/>
  <c r="M809" i="3"/>
  <c r="N809" i="3" s="1"/>
  <c r="P810" i="3"/>
  <c r="Q810" i="3" s="1"/>
  <c r="R810" i="3" s="1"/>
  <c r="S810" i="3" s="1"/>
  <c r="AA810" i="3"/>
  <c r="AC810" i="3"/>
  <c r="Z810" i="3"/>
  <c r="T810" i="3" l="1"/>
  <c r="L809" i="3"/>
  <c r="AH810" i="3" l="1"/>
  <c r="AG810" i="3"/>
  <c r="U809" i="3"/>
  <c r="E810" i="3" s="1"/>
  <c r="H810" i="3" s="1"/>
  <c r="Y808" i="3"/>
  <c r="D810" i="3" l="1"/>
  <c r="G810" i="3" s="1"/>
  <c r="K810" i="3"/>
  <c r="AE810" i="3" s="1"/>
  <c r="F810" i="3" l="1"/>
  <c r="I810" i="3"/>
  <c r="J810" i="3"/>
  <c r="AD810" i="3" s="1"/>
  <c r="M810" i="3"/>
  <c r="N810" i="3" s="1"/>
  <c r="V810" i="3"/>
  <c r="A811" i="3"/>
  <c r="B811" i="3" s="1"/>
  <c r="L810" i="3" l="1"/>
  <c r="W810" i="3"/>
  <c r="AA811" i="3"/>
  <c r="P811" i="3"/>
  <c r="Q811" i="3" s="1"/>
  <c r="R811" i="3" s="1"/>
  <c r="S811" i="3" s="1"/>
  <c r="Z811" i="3"/>
  <c r="AC811" i="3"/>
  <c r="U810" i="3" l="1"/>
  <c r="Y809" i="3"/>
  <c r="T811" i="3"/>
  <c r="E811" i="3" l="1"/>
  <c r="H811" i="3" s="1"/>
  <c r="K811" i="3" s="1"/>
  <c r="AE811" i="3" s="1"/>
  <c r="AH811" i="3"/>
  <c r="AG811" i="3"/>
  <c r="D811" i="3"/>
  <c r="V811" i="3" l="1"/>
  <c r="A812" i="3"/>
  <c r="B812" i="3" s="1"/>
  <c r="F811" i="3"/>
  <c r="G811" i="3"/>
  <c r="I811" i="3" l="1"/>
  <c r="W811" i="3" s="1"/>
  <c r="J811" i="3"/>
  <c r="AD811" i="3" s="1"/>
  <c r="M811" i="3"/>
  <c r="N811" i="3" s="1"/>
  <c r="Z812" i="3"/>
  <c r="AA812" i="3"/>
  <c r="P812" i="3"/>
  <c r="Q812" i="3" s="1"/>
  <c r="R812" i="3" s="1"/>
  <c r="S812" i="3" s="1"/>
  <c r="AC812" i="3"/>
  <c r="T812" i="3" l="1"/>
  <c r="L811" i="3"/>
  <c r="AG812" i="3" l="1"/>
  <c r="U811" i="3"/>
  <c r="D812" i="3" s="1"/>
  <c r="AH812" i="3"/>
  <c r="Y810" i="3"/>
  <c r="G812" i="3" l="1"/>
  <c r="E812" i="3"/>
  <c r="H812" i="3" s="1"/>
  <c r="I812" i="3" l="1"/>
  <c r="J812" i="3"/>
  <c r="AD812" i="3" s="1"/>
  <c r="M812" i="3"/>
  <c r="N812" i="3" s="1"/>
  <c r="F812" i="3"/>
  <c r="K812" i="3"/>
  <c r="AE812" i="3" s="1"/>
  <c r="L812" i="3" l="1"/>
  <c r="V812" i="3"/>
  <c r="W812" i="3" s="1"/>
  <c r="A813" i="3"/>
  <c r="B813" i="3" s="1"/>
  <c r="U812" i="3" l="1"/>
  <c r="Y811" i="3"/>
  <c r="AA813" i="3"/>
  <c r="P813" i="3"/>
  <c r="Q813" i="3" s="1"/>
  <c r="R813" i="3" s="1"/>
  <c r="S813" i="3" s="1"/>
  <c r="Z813" i="3"/>
  <c r="AC813" i="3"/>
  <c r="T813" i="3" l="1"/>
  <c r="AG813" i="3" s="1"/>
  <c r="AH813" i="3" l="1"/>
  <c r="D813" i="3"/>
  <c r="E813" i="3"/>
  <c r="H813" i="3" s="1"/>
  <c r="F813" i="3" l="1"/>
  <c r="G813" i="3"/>
  <c r="K813" i="3"/>
  <c r="AE813" i="3" s="1"/>
  <c r="I813" i="3" l="1"/>
  <c r="J813" i="3"/>
  <c r="AD813" i="3" s="1"/>
  <c r="M813" i="3"/>
  <c r="N813" i="3" s="1"/>
  <c r="V813" i="3"/>
  <c r="A814" i="3"/>
  <c r="B814" i="3" s="1"/>
  <c r="W813" i="3" l="1"/>
  <c r="L813" i="3"/>
  <c r="P814" i="3"/>
  <c r="Q814" i="3" s="1"/>
  <c r="R814" i="3" s="1"/>
  <c r="S814" i="3" s="1"/>
  <c r="AA814" i="3"/>
  <c r="Z814" i="3"/>
  <c r="AC814" i="3"/>
  <c r="U813" i="3" l="1"/>
  <c r="Y812" i="3"/>
  <c r="T814" i="3"/>
  <c r="D814" i="3" l="1"/>
  <c r="G814" i="3" s="1"/>
  <c r="E814" i="3"/>
  <c r="H814" i="3" s="1"/>
  <c r="K814" i="3" s="1"/>
  <c r="AE814" i="3" s="1"/>
  <c r="AH814" i="3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L814" i="3"/>
  <c r="AA815" i="3"/>
  <c r="AC815" i="3"/>
  <c r="Z815" i="3"/>
  <c r="P815" i="3"/>
  <c r="Q815" i="3" s="1"/>
  <c r="R815" i="3" s="1"/>
  <c r="S815" i="3" s="1"/>
  <c r="T815" i="3" l="1"/>
  <c r="AH815" i="3" s="1"/>
  <c r="U814" i="3"/>
  <c r="Y813" i="3"/>
  <c r="AG815" i="3" l="1"/>
  <c r="E815" i="3"/>
  <c r="H815" i="3" s="1"/>
  <c r="D815" i="3"/>
  <c r="K815" i="3" l="1"/>
  <c r="AE815" i="3" s="1"/>
  <c r="F815" i="3"/>
  <c r="G815" i="3"/>
  <c r="V815" i="3" l="1"/>
  <c r="A816" i="3"/>
  <c r="B816" i="3" s="1"/>
  <c r="I815" i="3"/>
  <c r="J815" i="3"/>
  <c r="AD815" i="3" s="1"/>
  <c r="M815" i="3"/>
  <c r="N815" i="3" s="1"/>
  <c r="W815" i="3" l="1"/>
  <c r="L815" i="3"/>
  <c r="P816" i="3"/>
  <c r="Q816" i="3" s="1"/>
  <c r="R816" i="3" s="1"/>
  <c r="S816" i="3" s="1"/>
  <c r="AC816" i="3"/>
  <c r="AA816" i="3"/>
  <c r="Z816" i="3"/>
  <c r="T816" i="3" l="1"/>
  <c r="U815" i="3"/>
  <c r="Y814" i="3"/>
  <c r="E816" i="3" l="1"/>
  <c r="H816" i="3" s="1"/>
  <c r="K816" i="3" s="1"/>
  <c r="AE816" i="3" s="1"/>
  <c r="D816" i="3"/>
  <c r="G816" i="3" s="1"/>
  <c r="AG816" i="3"/>
  <c r="AH816" i="3"/>
  <c r="F816" i="3" l="1"/>
  <c r="I816" i="3"/>
  <c r="J816" i="3"/>
  <c r="AD816" i="3" s="1"/>
  <c r="M816" i="3"/>
  <c r="N816" i="3" s="1"/>
  <c r="V816" i="3"/>
  <c r="A817" i="3"/>
  <c r="B817" i="3" s="1"/>
  <c r="W816" i="3" l="1"/>
  <c r="L816" i="3"/>
  <c r="P817" i="3"/>
  <c r="Q817" i="3" s="1"/>
  <c r="R817" i="3" s="1"/>
  <c r="S817" i="3" s="1"/>
  <c r="Z817" i="3"/>
  <c r="AA817" i="3"/>
  <c r="AC817" i="3"/>
  <c r="U816" i="3" l="1"/>
  <c r="Y815" i="3"/>
  <c r="T817" i="3"/>
  <c r="AG817" i="3" s="1"/>
  <c r="E817" i="3" l="1"/>
  <c r="H817" i="3" s="1"/>
  <c r="AH817" i="3"/>
  <c r="D817" i="3"/>
  <c r="F817" i="3" l="1"/>
  <c r="G817" i="3"/>
  <c r="K817" i="3"/>
  <c r="AE817" i="3" s="1"/>
  <c r="V817" i="3" l="1"/>
  <c r="A818" i="3"/>
  <c r="B818" i="3" s="1"/>
  <c r="I817" i="3"/>
  <c r="J817" i="3"/>
  <c r="AD817" i="3" s="1"/>
  <c r="M817" i="3"/>
  <c r="N817" i="3" s="1"/>
  <c r="W817" i="3" l="1"/>
  <c r="L817" i="3"/>
  <c r="Z818" i="3"/>
  <c r="AA818" i="3"/>
  <c r="P818" i="3"/>
  <c r="Q818" i="3" s="1"/>
  <c r="R818" i="3" s="1"/>
  <c r="S818" i="3" s="1"/>
  <c r="AC818" i="3"/>
  <c r="T818" i="3" l="1"/>
  <c r="U817" i="3"/>
  <c r="Y816" i="3"/>
  <c r="E818" i="3" l="1"/>
  <c r="H818" i="3" s="1"/>
  <c r="K818" i="3" s="1"/>
  <c r="AE818" i="3" s="1"/>
  <c r="D818" i="3"/>
  <c r="G818" i="3" s="1"/>
  <c r="AH818" i="3"/>
  <c r="AG818" i="3"/>
  <c r="F818" i="3" l="1"/>
  <c r="V818" i="3"/>
  <c r="A819" i="3"/>
  <c r="B819" i="3" s="1"/>
  <c r="I818" i="3"/>
  <c r="J818" i="3"/>
  <c r="AD818" i="3" s="1"/>
  <c r="M818" i="3"/>
  <c r="N818" i="3" s="1"/>
  <c r="W818" i="3" l="1"/>
  <c r="L818" i="3"/>
  <c r="AC819" i="3"/>
  <c r="AA819" i="3"/>
  <c r="Z819" i="3"/>
  <c r="P819" i="3"/>
  <c r="Q819" i="3" s="1"/>
  <c r="R819" i="3" s="1"/>
  <c r="S819" i="3" s="1"/>
  <c r="T819" i="3" l="1"/>
  <c r="AG819" i="3" s="1"/>
  <c r="U818" i="3"/>
  <c r="Y817" i="3"/>
  <c r="AH819" i="3" l="1"/>
  <c r="E819" i="3"/>
  <c r="H819" i="3" s="1"/>
  <c r="K819" i="3" s="1"/>
  <c r="AE819" i="3" s="1"/>
  <c r="D819" i="3"/>
  <c r="V819" i="3" l="1"/>
  <c r="A820" i="3"/>
  <c r="B820" i="3" s="1"/>
  <c r="F819" i="3"/>
  <c r="G819" i="3"/>
  <c r="I819" i="3" l="1"/>
  <c r="W819" i="3" s="1"/>
  <c r="J819" i="3"/>
  <c r="AD819" i="3" s="1"/>
  <c r="M819" i="3"/>
  <c r="N819" i="3" s="1"/>
  <c r="Z820" i="3"/>
  <c r="AA820" i="3"/>
  <c r="P820" i="3"/>
  <c r="Q820" i="3" s="1"/>
  <c r="R820" i="3" s="1"/>
  <c r="S820" i="3" s="1"/>
  <c r="AC820" i="3"/>
  <c r="T820" i="3" l="1"/>
  <c r="L819" i="3"/>
  <c r="U819" i="3" l="1"/>
  <c r="E820" i="3" s="1"/>
  <c r="H820" i="3" s="1"/>
  <c r="AG820" i="3"/>
  <c r="AH820" i="3"/>
  <c r="Y818" i="3"/>
  <c r="D820" i="3" l="1"/>
  <c r="G820" i="3" s="1"/>
  <c r="K820" i="3"/>
  <c r="AE820" i="3" s="1"/>
  <c r="F820" i="3" l="1"/>
  <c r="I820" i="3"/>
  <c r="J820" i="3"/>
  <c r="AD820" i="3" s="1"/>
  <c r="M820" i="3"/>
  <c r="N820" i="3" s="1"/>
  <c r="V820" i="3"/>
  <c r="A821" i="3"/>
  <c r="B821" i="3" s="1"/>
  <c r="W820" i="3" l="1"/>
  <c r="L820" i="3"/>
  <c r="P821" i="3"/>
  <c r="Q821" i="3" s="1"/>
  <c r="R821" i="3" s="1"/>
  <c r="S821" i="3" s="1"/>
  <c r="AA821" i="3"/>
  <c r="Z821" i="3"/>
  <c r="AC821" i="3"/>
  <c r="U820" i="3" l="1"/>
  <c r="Y819" i="3"/>
  <c r="T821" i="3"/>
  <c r="AH821" i="3" s="1"/>
  <c r="AG821" i="3" l="1"/>
  <c r="D821" i="3"/>
  <c r="G821" i="3" s="1"/>
  <c r="E821" i="3"/>
  <c r="H821" i="3" s="1"/>
  <c r="F821" i="3" l="1"/>
  <c r="K821" i="3"/>
  <c r="AE821" i="3" s="1"/>
  <c r="I821" i="3"/>
  <c r="J821" i="3"/>
  <c r="AD821" i="3" s="1"/>
  <c r="M821" i="3"/>
  <c r="N821" i="3" s="1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D822" i="3" l="1"/>
  <c r="E822" i="3"/>
  <c r="H822" i="3" s="1"/>
  <c r="AG822" i="3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L822" i="3"/>
  <c r="AC823" i="3"/>
  <c r="Z823" i="3"/>
  <c r="P823" i="3"/>
  <c r="Q823" i="3" s="1"/>
  <c r="R823" i="3" s="1"/>
  <c r="S823" i="3" s="1"/>
  <c r="AA823" i="3"/>
  <c r="U822" i="3" l="1"/>
  <c r="Y821" i="3"/>
  <c r="T823" i="3"/>
  <c r="D823" i="3" l="1"/>
  <c r="G823" i="3" s="1"/>
  <c r="E823" i="3"/>
  <c r="H823" i="3" s="1"/>
  <c r="AG823" i="3"/>
  <c r="AH823" i="3"/>
  <c r="F823" i="3" l="1"/>
  <c r="I823" i="3"/>
  <c r="J823" i="3"/>
  <c r="AD823" i="3" s="1"/>
  <c r="M823" i="3"/>
  <c r="N823" i="3" s="1"/>
  <c r="K823" i="3"/>
  <c r="AE823" i="3" s="1"/>
  <c r="V823" i="3" l="1"/>
  <c r="W823" i="3" s="1"/>
  <c r="A824" i="3"/>
  <c r="B824" i="3" s="1"/>
  <c r="L823" i="3"/>
  <c r="U823" i="3" l="1"/>
  <c r="Y822" i="3"/>
  <c r="Z824" i="3"/>
  <c r="P824" i="3"/>
  <c r="Q824" i="3" s="1"/>
  <c r="R824" i="3" s="1"/>
  <c r="S824" i="3" s="1"/>
  <c r="AC824" i="3"/>
  <c r="AA824" i="3"/>
  <c r="T824" i="3" l="1"/>
  <c r="D824" i="3" s="1"/>
  <c r="AH824" i="3" l="1"/>
  <c r="E824" i="3"/>
  <c r="H824" i="3" s="1"/>
  <c r="K824" i="3" s="1"/>
  <c r="AE824" i="3" s="1"/>
  <c r="AG824" i="3"/>
  <c r="G824" i="3"/>
  <c r="F824" i="3" l="1"/>
  <c r="V824" i="3"/>
  <c r="A825" i="3"/>
  <c r="B825" i="3" s="1"/>
  <c r="I824" i="3"/>
  <c r="J824" i="3"/>
  <c r="AD824" i="3" s="1"/>
  <c r="M824" i="3"/>
  <c r="N824" i="3" s="1"/>
  <c r="L824" i="3" l="1"/>
  <c r="W824" i="3"/>
  <c r="Z825" i="3"/>
  <c r="AC825" i="3"/>
  <c r="P825" i="3"/>
  <c r="Q825" i="3" s="1"/>
  <c r="R825" i="3" s="1"/>
  <c r="S825" i="3" s="1"/>
  <c r="AA825" i="3"/>
  <c r="AD825" i="3"/>
  <c r="T825" i="3" l="1"/>
  <c r="AG825" i="3" s="1"/>
  <c r="U824" i="3"/>
  <c r="Y823" i="3"/>
  <c r="D825" i="3" l="1"/>
  <c r="E825" i="3"/>
  <c r="H825" i="3" s="1"/>
  <c r="AH825" i="3"/>
  <c r="F825" i="3" l="1"/>
  <c r="G825" i="3"/>
  <c r="K825" i="3"/>
  <c r="AE825" i="3" s="1"/>
  <c r="I825" i="3" l="1"/>
  <c r="J825" i="3"/>
  <c r="M825" i="3"/>
  <c r="N825" i="3" s="1"/>
  <c r="V825" i="3"/>
  <c r="A826" i="3"/>
  <c r="B826" i="3" s="1"/>
  <c r="W825" i="3" l="1"/>
  <c r="L825" i="3"/>
  <c r="P826" i="3"/>
  <c r="Q826" i="3" s="1"/>
  <c r="R826" i="3" s="1"/>
  <c r="S826" i="3" s="1"/>
  <c r="Z826" i="3"/>
  <c r="AA826" i="3"/>
  <c r="AD826" i="3"/>
  <c r="AC826" i="3"/>
  <c r="U825" i="3" l="1"/>
  <c r="Y824" i="3"/>
  <c r="T826" i="3"/>
  <c r="AG826" i="3" s="1"/>
  <c r="E826" i="3" l="1"/>
  <c r="H826" i="3" s="1"/>
  <c r="K826" i="3" s="1"/>
  <c r="AE826" i="3" s="1"/>
  <c r="AH826" i="3"/>
  <c r="D826" i="3"/>
  <c r="G826" i="3" s="1"/>
  <c r="F826" i="3" l="1"/>
  <c r="I826" i="3"/>
  <c r="J826" i="3"/>
  <c r="M826" i="3"/>
  <c r="N826" i="3" s="1"/>
  <c r="V826" i="3"/>
  <c r="A827" i="3"/>
  <c r="B827" i="3" s="1"/>
  <c r="W826" i="3" l="1"/>
  <c r="L826" i="3"/>
  <c r="Z827" i="3"/>
  <c r="AA827" i="3"/>
  <c r="AD827" i="3"/>
  <c r="P827" i="3"/>
  <c r="Q827" i="3" s="1"/>
  <c r="R827" i="3" s="1"/>
  <c r="S827" i="3" s="1"/>
  <c r="AC827" i="3"/>
  <c r="U826" i="3" l="1"/>
  <c r="Y825" i="3"/>
  <c r="T827" i="3"/>
  <c r="AH827" i="3" s="1"/>
  <c r="D827" i="3" l="1"/>
  <c r="G827" i="3" s="1"/>
  <c r="E827" i="3"/>
  <c r="H827" i="3" s="1"/>
  <c r="K827" i="3" s="1"/>
  <c r="AE827" i="3" s="1"/>
  <c r="AG827" i="3"/>
  <c r="F827" i="3" l="1"/>
  <c r="V827" i="3"/>
  <c r="A828" i="3"/>
  <c r="B828" i="3" s="1"/>
  <c r="I827" i="3"/>
  <c r="J827" i="3"/>
  <c r="M827" i="3"/>
  <c r="N827" i="3" s="1"/>
  <c r="W827" i="3" l="1"/>
  <c r="L827" i="3"/>
  <c r="AD828" i="3"/>
  <c r="P828" i="3"/>
  <c r="Q828" i="3" s="1"/>
  <c r="R828" i="3" s="1"/>
  <c r="S828" i="3" s="1"/>
  <c r="AC828" i="3"/>
  <c r="AA828" i="3"/>
  <c r="Z828" i="3"/>
  <c r="U827" i="3" l="1"/>
  <c r="Y826" i="3"/>
  <c r="T828" i="3"/>
  <c r="D828" i="3" l="1"/>
  <c r="G828" i="3" s="1"/>
  <c r="AG828" i="3"/>
  <c r="AH828" i="3"/>
  <c r="E828" i="3"/>
  <c r="H828" i="3" s="1"/>
  <c r="F828" i="3" l="1"/>
  <c r="I828" i="3"/>
  <c r="J828" i="3"/>
  <c r="M828" i="3"/>
  <c r="N828" i="3" s="1"/>
  <c r="K828" i="3"/>
  <c r="AE828" i="3" s="1"/>
  <c r="V828" i="3" l="1"/>
  <c r="W828" i="3" s="1"/>
  <c r="A829" i="3"/>
  <c r="B829" i="3" s="1"/>
  <c r="L828" i="3"/>
  <c r="U828" i="3" l="1"/>
  <c r="Y827" i="3"/>
  <c r="AC829" i="3"/>
  <c r="Z829" i="3"/>
  <c r="AA829" i="3"/>
  <c r="P829" i="3"/>
  <c r="Q829" i="3" s="1"/>
  <c r="R829" i="3" s="1"/>
  <c r="S829" i="3" s="1"/>
  <c r="AD829" i="3"/>
  <c r="T829" i="3" l="1"/>
  <c r="E829" i="3" s="1"/>
  <c r="H829" i="3" s="1"/>
  <c r="AH829" i="3" l="1"/>
  <c r="D829" i="3"/>
  <c r="G829" i="3" s="1"/>
  <c r="AG829" i="3"/>
  <c r="K829" i="3"/>
  <c r="AE829" i="3" s="1"/>
  <c r="F829" i="3" l="1"/>
  <c r="I829" i="3"/>
  <c r="J829" i="3"/>
  <c r="M829" i="3"/>
  <c r="N829" i="3" s="1"/>
  <c r="V829" i="3"/>
  <c r="A830" i="3"/>
  <c r="B830" i="3" s="1"/>
  <c r="W829" i="3" l="1"/>
  <c r="L829" i="3"/>
  <c r="AA830" i="3"/>
  <c r="Z830" i="3"/>
  <c r="AC830" i="3"/>
  <c r="AD830" i="3"/>
  <c r="P830" i="3"/>
  <c r="Q830" i="3" s="1"/>
  <c r="R830" i="3" s="1"/>
  <c r="S830" i="3" s="1"/>
  <c r="U829" i="3" l="1"/>
  <c r="Y828" i="3"/>
  <c r="T830" i="3"/>
  <c r="D830" i="3" l="1"/>
  <c r="G830" i="3" s="1"/>
  <c r="E830" i="3"/>
  <c r="H830" i="3" s="1"/>
  <c r="AG830" i="3"/>
  <c r="AH830" i="3"/>
  <c r="F830" i="3" l="1"/>
  <c r="I830" i="3"/>
  <c r="J830" i="3"/>
  <c r="M830" i="3"/>
  <c r="N830" i="3" s="1"/>
  <c r="K830" i="3"/>
  <c r="AE830" i="3" s="1"/>
  <c r="V830" i="3" l="1"/>
  <c r="W830" i="3" s="1"/>
  <c r="A831" i="3"/>
  <c r="B831" i="3" s="1"/>
  <c r="L830" i="3"/>
  <c r="U830" i="3" l="1"/>
  <c r="Y829" i="3"/>
  <c r="Z831" i="3"/>
  <c r="P831" i="3"/>
  <c r="Q831" i="3" s="1"/>
  <c r="R831" i="3" s="1"/>
  <c r="S831" i="3" s="1"/>
  <c r="AA831" i="3"/>
  <c r="AD831" i="3"/>
  <c r="AC831" i="3"/>
  <c r="T831" i="3" l="1"/>
  <c r="AH831" i="3" s="1"/>
  <c r="E831" i="3" l="1"/>
  <c r="H831" i="3" s="1"/>
  <c r="K831" i="3" s="1"/>
  <c r="AE831" i="3" s="1"/>
  <c r="D831" i="3"/>
  <c r="G831" i="3" s="1"/>
  <c r="AG831" i="3"/>
  <c r="F831" i="3" l="1"/>
  <c r="I831" i="3"/>
  <c r="J831" i="3"/>
  <c r="M831" i="3"/>
  <c r="N831" i="3" s="1"/>
  <c r="V831" i="3"/>
  <c r="A832" i="3"/>
  <c r="B832" i="3" s="1"/>
  <c r="W831" i="3" l="1"/>
  <c r="L831" i="3"/>
  <c r="P832" i="3"/>
  <c r="Q832" i="3" s="1"/>
  <c r="R832" i="3" s="1"/>
  <c r="S832" i="3" s="1"/>
  <c r="AC832" i="3"/>
  <c r="AD832" i="3"/>
  <c r="Z832" i="3"/>
  <c r="AA832" i="3"/>
  <c r="U831" i="3" l="1"/>
  <c r="Y830" i="3"/>
  <c r="T832" i="3"/>
  <c r="AH832" i="3" s="1"/>
  <c r="D832" i="3" l="1"/>
  <c r="G832" i="3" s="1"/>
  <c r="AG832" i="3"/>
  <c r="E832" i="3"/>
  <c r="H832" i="3" s="1"/>
  <c r="K832" i="3" l="1"/>
  <c r="AE832" i="3" s="1"/>
  <c r="I832" i="3"/>
  <c r="J832" i="3"/>
  <c r="M832" i="3"/>
  <c r="N832" i="3" s="1"/>
  <c r="F832" i="3"/>
  <c r="L832" i="3" l="1"/>
  <c r="V832" i="3"/>
  <c r="W832" i="3" s="1"/>
  <c r="A833" i="3"/>
  <c r="B833" i="3" s="1"/>
  <c r="U832" i="3" l="1"/>
  <c r="Y831" i="3"/>
  <c r="Z833" i="3"/>
  <c r="AC833" i="3"/>
  <c r="P833" i="3"/>
  <c r="Q833" i="3" s="1"/>
  <c r="R833" i="3" s="1"/>
  <c r="S833" i="3" s="1"/>
  <c r="AD833" i="3"/>
  <c r="AA833" i="3"/>
  <c r="T833" i="3" l="1"/>
  <c r="AH833" i="3" s="1"/>
  <c r="E833" i="3" l="1"/>
  <c r="H833" i="3" s="1"/>
  <c r="K833" i="3" s="1"/>
  <c r="AE833" i="3" s="1"/>
  <c r="AG833" i="3"/>
  <c r="D833" i="3"/>
  <c r="G833" i="3" s="1"/>
  <c r="F833" i="3" l="1"/>
  <c r="I833" i="3"/>
  <c r="J833" i="3"/>
  <c r="M833" i="3"/>
  <c r="N833" i="3" s="1"/>
  <c r="V833" i="3"/>
  <c r="A834" i="3"/>
  <c r="B834" i="3" s="1"/>
  <c r="L833" i="3" l="1"/>
  <c r="W833" i="3"/>
  <c r="AC834" i="3"/>
  <c r="P834" i="3"/>
  <c r="Q834" i="3" s="1"/>
  <c r="R834" i="3" s="1"/>
  <c r="S834" i="3" s="1"/>
  <c r="AA834" i="3"/>
  <c r="Z834" i="3"/>
  <c r="U833" i="3" l="1"/>
  <c r="Y832" i="3"/>
  <c r="T834" i="3"/>
  <c r="D834" i="3" l="1"/>
  <c r="G834" i="3" s="1"/>
  <c r="E834" i="3"/>
  <c r="H834" i="3" s="1"/>
  <c r="K834" i="3" s="1"/>
  <c r="AE834" i="3" s="1"/>
  <c r="AH834" i="3"/>
  <c r="AG834" i="3"/>
  <c r="F834" i="3" l="1"/>
  <c r="V834" i="3"/>
  <c r="A835" i="3"/>
  <c r="B835" i="3" s="1"/>
  <c r="I834" i="3"/>
  <c r="J834" i="3"/>
  <c r="AD834" i="3" s="1"/>
  <c r="M834" i="3"/>
  <c r="N834" i="3" s="1"/>
  <c r="W834" i="3" l="1"/>
  <c r="L834" i="3"/>
  <c r="Z835" i="3"/>
  <c r="P835" i="3"/>
  <c r="Q835" i="3" s="1"/>
  <c r="R835" i="3" s="1"/>
  <c r="S835" i="3" s="1"/>
  <c r="AC835" i="3"/>
  <c r="AA835" i="3"/>
  <c r="T835" i="3" l="1"/>
  <c r="U834" i="3"/>
  <c r="Y833" i="3"/>
  <c r="E835" i="3" l="1"/>
  <c r="H835" i="3" s="1"/>
  <c r="K835" i="3" s="1"/>
  <c r="AE835" i="3" s="1"/>
  <c r="AH835" i="3"/>
  <c r="AG835" i="3"/>
  <c r="D835" i="3"/>
  <c r="F835" i="3" l="1"/>
  <c r="G835" i="3"/>
  <c r="V835" i="3"/>
  <c r="A836" i="3"/>
  <c r="B836" i="3" s="1"/>
  <c r="I835" i="3" l="1"/>
  <c r="W835" i="3" s="1"/>
  <c r="J835" i="3"/>
  <c r="AD835" i="3" s="1"/>
  <c r="M835" i="3"/>
  <c r="N835" i="3" s="1"/>
  <c r="Z836" i="3"/>
  <c r="AA836" i="3"/>
  <c r="AC836" i="3"/>
  <c r="P836" i="3"/>
  <c r="Q836" i="3" s="1"/>
  <c r="R836" i="3" s="1"/>
  <c r="S836" i="3" s="1"/>
  <c r="T836" i="3" l="1"/>
  <c r="L835" i="3"/>
  <c r="AG836" i="3" l="1"/>
  <c r="U835" i="3"/>
  <c r="D836" i="3" s="1"/>
  <c r="AH836" i="3"/>
  <c r="Y834" i="3"/>
  <c r="E836" i="3" l="1"/>
  <c r="H836" i="3" s="1"/>
  <c r="K836" i="3" s="1"/>
  <c r="AE836" i="3" s="1"/>
  <c r="G836" i="3"/>
  <c r="F836" i="3" l="1"/>
  <c r="V836" i="3"/>
  <c r="A837" i="3"/>
  <c r="B837" i="3" s="1"/>
  <c r="I836" i="3"/>
  <c r="J836" i="3"/>
  <c r="AD836" i="3" s="1"/>
  <c r="M836" i="3"/>
  <c r="N836" i="3" s="1"/>
  <c r="L836" i="3" l="1"/>
  <c r="W836" i="3"/>
  <c r="P837" i="3"/>
  <c r="Q837" i="3" s="1"/>
  <c r="R837" i="3" s="1"/>
  <c r="S837" i="3" s="1"/>
  <c r="AA837" i="3"/>
  <c r="AC837" i="3"/>
  <c r="Z837" i="3"/>
  <c r="U836" i="3" l="1"/>
  <c r="Y835" i="3"/>
  <c r="T837" i="3"/>
  <c r="AH837" i="3" s="1"/>
  <c r="E837" i="3" l="1"/>
  <c r="H837" i="3" s="1"/>
  <c r="K837" i="3" s="1"/>
  <c r="AE837" i="3" s="1"/>
  <c r="D837" i="3"/>
  <c r="G837" i="3" s="1"/>
  <c r="AG837" i="3"/>
  <c r="F837" i="3" l="1"/>
  <c r="I837" i="3"/>
  <c r="J837" i="3"/>
  <c r="AD837" i="3" s="1"/>
  <c r="M837" i="3"/>
  <c r="N837" i="3" s="1"/>
  <c r="V837" i="3"/>
  <c r="A838" i="3"/>
  <c r="B838" i="3" s="1"/>
  <c r="W837" i="3" l="1"/>
  <c r="L837" i="3"/>
  <c r="P838" i="3"/>
  <c r="Q838" i="3" s="1"/>
  <c r="R838" i="3" s="1"/>
  <c r="S838" i="3" s="1"/>
  <c r="AA838" i="3"/>
  <c r="AC838" i="3"/>
  <c r="Z838" i="3"/>
  <c r="U837" i="3" l="1"/>
  <c r="Y836" i="3"/>
  <c r="T838" i="3"/>
  <c r="AH838" i="3" s="1"/>
  <c r="E838" i="3" l="1"/>
  <c r="H838" i="3" s="1"/>
  <c r="D838" i="3"/>
  <c r="AG838" i="3"/>
  <c r="K838" i="3" l="1"/>
  <c r="AE838" i="3" s="1"/>
  <c r="F838" i="3"/>
  <c r="G838" i="3"/>
  <c r="V838" i="3" l="1"/>
  <c r="A839" i="3"/>
  <c r="B839" i="3" s="1"/>
  <c r="I838" i="3"/>
  <c r="J838" i="3"/>
  <c r="AD838" i="3" s="1"/>
  <c r="M838" i="3"/>
  <c r="N838" i="3" s="1"/>
  <c r="W838" i="3" l="1"/>
  <c r="L838" i="3"/>
  <c r="AC839" i="3"/>
  <c r="Z839" i="3"/>
  <c r="AA839" i="3"/>
  <c r="P839" i="3"/>
  <c r="Q839" i="3" s="1"/>
  <c r="R839" i="3" s="1"/>
  <c r="S839" i="3" s="1"/>
  <c r="U838" i="3" l="1"/>
  <c r="Y837" i="3"/>
  <c r="T839" i="3"/>
  <c r="AG839" i="3" s="1"/>
  <c r="D839" i="3" l="1"/>
  <c r="E839" i="3"/>
  <c r="H839" i="3" s="1"/>
  <c r="AH839" i="3"/>
  <c r="F839" i="3" l="1"/>
  <c r="G839" i="3"/>
  <c r="K839" i="3"/>
  <c r="AE839" i="3" s="1"/>
  <c r="V839" i="3" l="1"/>
  <c r="A840" i="3"/>
  <c r="B840" i="3" s="1"/>
  <c r="I839" i="3"/>
  <c r="J839" i="3"/>
  <c r="AD839" i="3" s="1"/>
  <c r="M839" i="3"/>
  <c r="N839" i="3" s="1"/>
  <c r="W839" i="3" l="1"/>
  <c r="L839" i="3"/>
  <c r="AC840" i="3"/>
  <c r="P840" i="3"/>
  <c r="Q840" i="3" s="1"/>
  <c r="R840" i="3" s="1"/>
  <c r="S840" i="3" s="1"/>
  <c r="AA840" i="3"/>
  <c r="Z840" i="3"/>
  <c r="T840" i="3" l="1"/>
  <c r="U839" i="3"/>
  <c r="Y838" i="3"/>
  <c r="D840" i="3" l="1"/>
  <c r="G840" i="3" s="1"/>
  <c r="AG840" i="3"/>
  <c r="E840" i="3"/>
  <c r="H840" i="3" s="1"/>
  <c r="AH840" i="3"/>
  <c r="K840" i="3" l="1"/>
  <c r="AE840" i="3" s="1"/>
  <c r="I840" i="3"/>
  <c r="J840" i="3"/>
  <c r="AD840" i="3" s="1"/>
  <c r="M840" i="3"/>
  <c r="N840" i="3" s="1"/>
  <c r="F840" i="3"/>
  <c r="L840" i="3" l="1"/>
  <c r="V840" i="3"/>
  <c r="W840" i="3" s="1"/>
  <c r="A841" i="3"/>
  <c r="B841" i="3" s="1"/>
  <c r="U840" i="3" l="1"/>
  <c r="Y839" i="3"/>
  <c r="AA841" i="3"/>
  <c r="Z841" i="3"/>
  <c r="AC841" i="3"/>
  <c r="P841" i="3"/>
  <c r="Q841" i="3" s="1"/>
  <c r="R841" i="3" s="1"/>
  <c r="S841" i="3" s="1"/>
  <c r="T841" i="3" l="1"/>
  <c r="AH841" i="3" s="1"/>
  <c r="E841" i="3" l="1"/>
  <c r="H841" i="3" s="1"/>
  <c r="K841" i="3" s="1"/>
  <c r="AE841" i="3" s="1"/>
  <c r="AG841" i="3"/>
  <c r="D841" i="3"/>
  <c r="G841" i="3" s="1"/>
  <c r="F841" i="3" l="1"/>
  <c r="I841" i="3"/>
  <c r="J841" i="3"/>
  <c r="AD841" i="3" s="1"/>
  <c r="M841" i="3"/>
  <c r="N841" i="3" s="1"/>
  <c r="V841" i="3"/>
  <c r="A842" i="3"/>
  <c r="B842" i="3" s="1"/>
  <c r="W841" i="3" l="1"/>
  <c r="L841" i="3"/>
  <c r="P842" i="3"/>
  <c r="Q842" i="3" s="1"/>
  <c r="R842" i="3" s="1"/>
  <c r="S842" i="3" s="1"/>
  <c r="Z842" i="3"/>
  <c r="AC842" i="3"/>
  <c r="AA842" i="3"/>
  <c r="U841" i="3" l="1"/>
  <c r="Y840" i="3"/>
  <c r="T842" i="3"/>
  <c r="AG842" i="3" s="1"/>
  <c r="D842" i="3" l="1"/>
  <c r="G842" i="3" s="1"/>
  <c r="E842" i="3"/>
  <c r="H842" i="3" s="1"/>
  <c r="K842" i="3" s="1"/>
  <c r="AE842" i="3" s="1"/>
  <c r="AH842" i="3"/>
  <c r="F842" i="3" l="1"/>
  <c r="V842" i="3"/>
  <c r="A843" i="3"/>
  <c r="B843" i="3" s="1"/>
  <c r="I842" i="3"/>
  <c r="J842" i="3"/>
  <c r="AD842" i="3" s="1"/>
  <c r="M842" i="3"/>
  <c r="N842" i="3" s="1"/>
  <c r="W842" i="3" l="1"/>
  <c r="L842" i="3"/>
  <c r="AC843" i="3"/>
  <c r="AA843" i="3"/>
  <c r="Z843" i="3"/>
  <c r="P843" i="3"/>
  <c r="Q843" i="3" s="1"/>
  <c r="R843" i="3" s="1"/>
  <c r="S843" i="3" s="1"/>
  <c r="U842" i="3" l="1"/>
  <c r="Y841" i="3"/>
  <c r="T843" i="3"/>
  <c r="AG843" i="3" s="1"/>
  <c r="D843" i="3" l="1"/>
  <c r="E843" i="3"/>
  <c r="H843" i="3" s="1"/>
  <c r="AH843" i="3"/>
  <c r="F843" i="3" l="1"/>
  <c r="G843" i="3"/>
  <c r="K843" i="3"/>
  <c r="AE843" i="3" s="1"/>
  <c r="V843" i="3" l="1"/>
  <c r="A844" i="3"/>
  <c r="B844" i="3" s="1"/>
  <c r="I843" i="3"/>
  <c r="J843" i="3"/>
  <c r="AD843" i="3" s="1"/>
  <c r="M843" i="3"/>
  <c r="N843" i="3" s="1"/>
  <c r="W843" i="3" l="1"/>
  <c r="L843" i="3"/>
  <c r="AC844" i="3"/>
  <c r="P844" i="3"/>
  <c r="Q844" i="3" s="1"/>
  <c r="R844" i="3" s="1"/>
  <c r="S844" i="3" s="1"/>
  <c r="Z844" i="3"/>
  <c r="AA844" i="3"/>
  <c r="U843" i="3" l="1"/>
  <c r="Y842" i="3"/>
  <c r="T844" i="3"/>
  <c r="AH844" i="3" s="1"/>
  <c r="AG844" i="3" l="1"/>
  <c r="E844" i="3"/>
  <c r="H844" i="3" s="1"/>
  <c r="K844" i="3" s="1"/>
  <c r="AE844" i="3" s="1"/>
  <c r="D844" i="3"/>
  <c r="V844" i="3" l="1"/>
  <c r="A845" i="3"/>
  <c r="B845" i="3" s="1"/>
  <c r="F844" i="3"/>
  <c r="G844" i="3"/>
  <c r="I844" i="3" l="1"/>
  <c r="W844" i="3" s="1"/>
  <c r="J844" i="3"/>
  <c r="AD844" i="3" s="1"/>
  <c r="M844" i="3"/>
  <c r="N844" i="3" s="1"/>
  <c r="AC845" i="3"/>
  <c r="P845" i="3"/>
  <c r="Q845" i="3" s="1"/>
  <c r="R845" i="3" s="1"/>
  <c r="S845" i="3" s="1"/>
  <c r="Z845" i="3"/>
  <c r="AA845" i="3"/>
  <c r="T845" i="3" l="1"/>
  <c r="L844" i="3"/>
  <c r="AH845" i="3" l="1"/>
  <c r="U844" i="3"/>
  <c r="D845" i="3" s="1"/>
  <c r="AG845" i="3"/>
  <c r="Y843" i="3"/>
  <c r="E845" i="3" l="1"/>
  <c r="H845" i="3" s="1"/>
  <c r="K845" i="3" s="1"/>
  <c r="AE845" i="3" s="1"/>
  <c r="G845" i="3"/>
  <c r="F845" i="3" l="1"/>
  <c r="I845" i="3"/>
  <c r="J845" i="3"/>
  <c r="AD845" i="3" s="1"/>
  <c r="M845" i="3"/>
  <c r="N845" i="3" s="1"/>
  <c r="V845" i="3"/>
  <c r="A846" i="3"/>
  <c r="B846" i="3" s="1"/>
  <c r="W845" i="3" l="1"/>
  <c r="L845" i="3"/>
  <c r="P846" i="3"/>
  <c r="Q846" i="3" s="1"/>
  <c r="R846" i="3" s="1"/>
  <c r="S846" i="3" s="1"/>
  <c r="AC846" i="3"/>
  <c r="Z846" i="3"/>
  <c r="AA846" i="3"/>
  <c r="U845" i="3" l="1"/>
  <c r="Y844" i="3"/>
  <c r="T846" i="3"/>
  <c r="AH846" i="3" s="1"/>
  <c r="D846" i="3" l="1"/>
  <c r="G846" i="3" s="1"/>
  <c r="E846" i="3"/>
  <c r="H846" i="3" s="1"/>
  <c r="K846" i="3" s="1"/>
  <c r="AE846" i="3" s="1"/>
  <c r="AG846" i="3"/>
  <c r="F846" i="3" l="1"/>
  <c r="I846" i="3"/>
  <c r="J846" i="3"/>
  <c r="AD846" i="3" s="1"/>
  <c r="M846" i="3"/>
  <c r="N846" i="3" s="1"/>
  <c r="V846" i="3"/>
  <c r="A847" i="3"/>
  <c r="B847" i="3" s="1"/>
  <c r="W846" i="3" l="1"/>
  <c r="L846" i="3"/>
  <c r="AC847" i="3"/>
  <c r="P847" i="3"/>
  <c r="Q847" i="3" s="1"/>
  <c r="R847" i="3" s="1"/>
  <c r="S847" i="3" s="1"/>
  <c r="AA847" i="3"/>
  <c r="Z847" i="3"/>
  <c r="U846" i="3" l="1"/>
  <c r="Y845" i="3"/>
  <c r="T847" i="3"/>
  <c r="D847" i="3" l="1"/>
  <c r="G847" i="3" s="1"/>
  <c r="E847" i="3"/>
  <c r="H847" i="3" s="1"/>
  <c r="K847" i="3" s="1"/>
  <c r="AE847" i="3" s="1"/>
  <c r="AH847" i="3"/>
  <c r="AG847" i="3"/>
  <c r="F847" i="3" l="1"/>
  <c r="I847" i="3"/>
  <c r="J847" i="3"/>
  <c r="AD847" i="3" s="1"/>
  <c r="M847" i="3"/>
  <c r="N847" i="3" s="1"/>
  <c r="V847" i="3"/>
  <c r="A848" i="3"/>
  <c r="B848" i="3" s="1"/>
  <c r="W847" i="3" l="1"/>
  <c r="L847" i="3"/>
  <c r="AA848" i="3"/>
  <c r="P848" i="3"/>
  <c r="Q848" i="3" s="1"/>
  <c r="R848" i="3" s="1"/>
  <c r="S848" i="3" s="1"/>
  <c r="Z848" i="3"/>
  <c r="AC848" i="3"/>
  <c r="U847" i="3" l="1"/>
  <c r="Y846" i="3"/>
  <c r="T848" i="3"/>
  <c r="AG848" i="3" s="1"/>
  <c r="D848" i="3" l="1"/>
  <c r="AH848" i="3"/>
  <c r="E848" i="3"/>
  <c r="H848" i="3" s="1"/>
  <c r="F848" i="3" l="1"/>
  <c r="G848" i="3"/>
  <c r="K848" i="3"/>
  <c r="AE848" i="3" s="1"/>
  <c r="V848" i="3" l="1"/>
  <c r="A849" i="3"/>
  <c r="B849" i="3" s="1"/>
  <c r="I848" i="3"/>
  <c r="J848" i="3"/>
  <c r="AD848" i="3" s="1"/>
  <c r="M848" i="3"/>
  <c r="N848" i="3" s="1"/>
  <c r="W848" i="3" l="1"/>
  <c r="L848" i="3"/>
  <c r="P849" i="3"/>
  <c r="Q849" i="3" s="1"/>
  <c r="R849" i="3" s="1"/>
  <c r="S849" i="3" s="1"/>
  <c r="AC849" i="3"/>
  <c r="Z849" i="3"/>
  <c r="AA849" i="3"/>
  <c r="U848" i="3" l="1"/>
  <c r="Y847" i="3"/>
  <c r="T849" i="3"/>
  <c r="AG849" i="3" s="1"/>
  <c r="E849" i="3" l="1"/>
  <c r="H849" i="3" s="1"/>
  <c r="K849" i="3" s="1"/>
  <c r="AE849" i="3" s="1"/>
  <c r="D849" i="3"/>
  <c r="G849" i="3" s="1"/>
  <c r="AH849" i="3"/>
  <c r="F849" i="3" l="1"/>
  <c r="V849" i="3"/>
  <c r="A850" i="3"/>
  <c r="B850" i="3" s="1"/>
  <c r="I849" i="3"/>
  <c r="J849" i="3"/>
  <c r="AD849" i="3" s="1"/>
  <c r="M849" i="3"/>
  <c r="N849" i="3" s="1"/>
  <c r="W849" i="3" l="1"/>
  <c r="L849" i="3"/>
  <c r="AA850" i="3"/>
  <c r="AC850" i="3"/>
  <c r="P850" i="3"/>
  <c r="Q850" i="3" s="1"/>
  <c r="R850" i="3" s="1"/>
  <c r="S850" i="3" s="1"/>
  <c r="Z850" i="3"/>
  <c r="T850" i="3" l="1"/>
  <c r="AG850" i="3" s="1"/>
  <c r="U849" i="3"/>
  <c r="Y848" i="3"/>
  <c r="E850" i="3" l="1"/>
  <c r="H850" i="3" s="1"/>
  <c r="D850" i="3"/>
  <c r="AH850" i="3"/>
  <c r="K850" i="3" l="1"/>
  <c r="AE850" i="3" s="1"/>
  <c r="F850" i="3"/>
  <c r="G850" i="3"/>
  <c r="I850" i="3" l="1"/>
  <c r="J850" i="3"/>
  <c r="AD850" i="3" s="1"/>
  <c r="M850" i="3"/>
  <c r="N850" i="3" s="1"/>
  <c r="V850" i="3"/>
  <c r="A851" i="3"/>
  <c r="B851" i="3" s="1"/>
  <c r="W850" i="3" l="1"/>
  <c r="L850" i="3"/>
  <c r="P851" i="3"/>
  <c r="Q851" i="3" s="1"/>
  <c r="R851" i="3" s="1"/>
  <c r="S851" i="3" s="1"/>
  <c r="AA851" i="3"/>
  <c r="AC851" i="3"/>
  <c r="Z851" i="3"/>
  <c r="U850" i="3" l="1"/>
  <c r="Y849" i="3"/>
  <c r="T851" i="3"/>
  <c r="AH851" i="3" s="1"/>
  <c r="E851" i="3" l="1"/>
  <c r="H851" i="3" s="1"/>
  <c r="K851" i="3" s="1"/>
  <c r="AE851" i="3" s="1"/>
  <c r="AG851" i="3"/>
  <c r="D851" i="3"/>
  <c r="F851" i="3" l="1"/>
  <c r="G851" i="3"/>
  <c r="M851" i="3" s="1"/>
  <c r="N851" i="3" s="1"/>
  <c r="V851" i="3"/>
  <c r="A852" i="3"/>
  <c r="B852" i="3" s="1"/>
  <c r="I851" i="3" l="1"/>
  <c r="W851" i="3" s="1"/>
  <c r="J851" i="3"/>
  <c r="AC852" i="3"/>
  <c r="AA852" i="3"/>
  <c r="P852" i="3"/>
  <c r="Q852" i="3" s="1"/>
  <c r="R852" i="3" s="1"/>
  <c r="S852" i="3" s="1"/>
  <c r="Z852" i="3"/>
  <c r="L851" i="3" l="1"/>
  <c r="U851" i="3" s="1"/>
  <c r="AD851" i="3"/>
  <c r="T852" i="3"/>
  <c r="Y850" i="3" l="1"/>
  <c r="D852" i="3"/>
  <c r="G852" i="3" s="1"/>
  <c r="AH852" i="3"/>
  <c r="E852" i="3"/>
  <c r="H852" i="3" s="1"/>
  <c r="AG852" i="3"/>
  <c r="F852" i="3" l="1"/>
  <c r="I852" i="3"/>
  <c r="J852" i="3"/>
  <c r="AD852" i="3" s="1"/>
  <c r="M852" i="3"/>
  <c r="N852" i="3" s="1"/>
  <c r="K852" i="3"/>
  <c r="AE852" i="3" s="1"/>
  <c r="L852" i="3" l="1"/>
  <c r="V852" i="3"/>
  <c r="W852" i="3" s="1"/>
  <c r="A853" i="3"/>
  <c r="B853" i="3" s="1"/>
  <c r="U852" i="3" l="1"/>
  <c r="Y851" i="3"/>
  <c r="AC853" i="3"/>
  <c r="P853" i="3"/>
  <c r="Q853" i="3" s="1"/>
  <c r="R853" i="3" s="1"/>
  <c r="S853" i="3" s="1"/>
  <c r="Z853" i="3"/>
  <c r="AA853" i="3"/>
  <c r="T853" i="3" l="1"/>
  <c r="AG853" i="3" s="1"/>
  <c r="E853" i="3" l="1"/>
  <c r="H853" i="3" s="1"/>
  <c r="AH853" i="3"/>
  <c r="D853" i="3"/>
  <c r="K853" i="3" l="1"/>
  <c r="AE853" i="3" s="1"/>
  <c r="F853" i="3"/>
  <c r="G853" i="3"/>
  <c r="I853" i="3" l="1"/>
  <c r="J853" i="3"/>
  <c r="AD853" i="3" s="1"/>
  <c r="M853" i="3"/>
  <c r="N853" i="3" s="1"/>
  <c r="V853" i="3"/>
  <c r="A854" i="3"/>
  <c r="B854" i="3" s="1"/>
  <c r="W853" i="3" l="1"/>
  <c r="L853" i="3"/>
  <c r="Z854" i="3"/>
  <c r="P854" i="3"/>
  <c r="Q854" i="3" s="1"/>
  <c r="R854" i="3" s="1"/>
  <c r="S854" i="3" s="1"/>
  <c r="AC854" i="3"/>
  <c r="AA854" i="3"/>
  <c r="U853" i="3" l="1"/>
  <c r="Y852" i="3"/>
  <c r="T854" i="3"/>
  <c r="AG854" i="3" s="1"/>
  <c r="E854" i="3" l="1"/>
  <c r="H854" i="3" s="1"/>
  <c r="K854" i="3" s="1"/>
  <c r="AE854" i="3" s="1"/>
  <c r="AH854" i="3"/>
  <c r="D854" i="3"/>
  <c r="G854" i="3" s="1"/>
  <c r="F854" i="3" l="1"/>
  <c r="I854" i="3"/>
  <c r="J854" i="3"/>
  <c r="AD854" i="3" s="1"/>
  <c r="M854" i="3"/>
  <c r="N854" i="3" s="1"/>
  <c r="V854" i="3"/>
  <c r="A855" i="3"/>
  <c r="B855" i="3" s="1"/>
  <c r="W854" i="3" l="1"/>
  <c r="L854" i="3"/>
  <c r="Z855" i="3"/>
  <c r="P855" i="3"/>
  <c r="Q855" i="3" s="1"/>
  <c r="R855" i="3" s="1"/>
  <c r="S855" i="3" s="1"/>
  <c r="AA855" i="3"/>
  <c r="AC855" i="3"/>
  <c r="T855" i="3" l="1"/>
  <c r="AG855" i="3" s="1"/>
  <c r="U854" i="3"/>
  <c r="Y853" i="3"/>
  <c r="E855" i="3" l="1"/>
  <c r="H855" i="3" s="1"/>
  <c r="K855" i="3" s="1"/>
  <c r="AE855" i="3" s="1"/>
  <c r="D855" i="3"/>
  <c r="AH855" i="3"/>
  <c r="F855" i="3" l="1"/>
  <c r="G855" i="3"/>
  <c r="V855" i="3"/>
  <c r="A856" i="3"/>
  <c r="B856" i="3" s="1"/>
  <c r="AA856" i="3" l="1"/>
  <c r="P856" i="3"/>
  <c r="Q856" i="3" s="1"/>
  <c r="R856" i="3" s="1"/>
  <c r="S856" i="3" s="1"/>
  <c r="Z856" i="3"/>
  <c r="AC856" i="3"/>
  <c r="I855" i="3"/>
  <c r="W855" i="3" s="1"/>
  <c r="J855" i="3"/>
  <c r="AD855" i="3" s="1"/>
  <c r="M855" i="3"/>
  <c r="N855" i="3" s="1"/>
  <c r="L855" i="3" l="1"/>
  <c r="T856" i="3"/>
  <c r="U855" i="3" l="1"/>
  <c r="D856" i="3" s="1"/>
  <c r="AH856" i="3"/>
  <c r="AG856" i="3"/>
  <c r="Y854" i="3"/>
  <c r="G856" i="3" l="1"/>
  <c r="E856" i="3"/>
  <c r="H856" i="3" s="1"/>
  <c r="F856" i="3" l="1"/>
  <c r="K856" i="3"/>
  <c r="AE856" i="3" s="1"/>
  <c r="I856" i="3"/>
  <c r="J856" i="3"/>
  <c r="AD856" i="3" s="1"/>
  <c r="M856" i="3"/>
  <c r="N856" i="3" s="1"/>
  <c r="L856" i="3" l="1"/>
  <c r="V856" i="3"/>
  <c r="W856" i="3" s="1"/>
  <c r="A857" i="3"/>
  <c r="B857" i="3" s="1"/>
  <c r="Z857" i="3" l="1"/>
  <c r="AC857" i="3"/>
  <c r="AA857" i="3"/>
  <c r="P857" i="3"/>
  <c r="Q857" i="3" s="1"/>
  <c r="R857" i="3" s="1"/>
  <c r="S857" i="3" s="1"/>
  <c r="U856" i="3"/>
  <c r="Y855" i="3"/>
  <c r="T857" i="3" l="1"/>
  <c r="E857" i="3" l="1"/>
  <c r="H857" i="3" s="1"/>
  <c r="AG857" i="3"/>
  <c r="D857" i="3"/>
  <c r="AH857" i="3"/>
  <c r="K857" i="3" l="1"/>
  <c r="AE857" i="3" s="1"/>
  <c r="F857" i="3"/>
  <c r="G857" i="3"/>
  <c r="I857" i="3" l="1"/>
  <c r="J857" i="3"/>
  <c r="AD857" i="3" s="1"/>
  <c r="M857" i="3"/>
  <c r="N857" i="3" s="1"/>
  <c r="V857" i="3"/>
  <c r="A858" i="3"/>
  <c r="B858" i="3" s="1"/>
  <c r="W857" i="3" l="1"/>
  <c r="L857" i="3"/>
  <c r="AA858" i="3"/>
  <c r="Z858" i="3"/>
  <c r="P858" i="3"/>
  <c r="Q858" i="3" s="1"/>
  <c r="R858" i="3" s="1"/>
  <c r="S858" i="3" s="1"/>
  <c r="AC858" i="3"/>
  <c r="U857" i="3" l="1"/>
  <c r="Y856" i="3"/>
  <c r="T858" i="3"/>
  <c r="D858" i="3" l="1"/>
  <c r="G858" i="3" s="1"/>
  <c r="E858" i="3"/>
  <c r="H858" i="3" s="1"/>
  <c r="K858" i="3" s="1"/>
  <c r="AE858" i="3" s="1"/>
  <c r="AG858" i="3"/>
  <c r="AH858" i="3"/>
  <c r="F858" i="3" l="1"/>
  <c r="V858" i="3"/>
  <c r="A859" i="3"/>
  <c r="B859" i="3" s="1"/>
  <c r="I858" i="3"/>
  <c r="J858" i="3"/>
  <c r="AD858" i="3" s="1"/>
  <c r="M858" i="3"/>
  <c r="N858" i="3" s="1"/>
  <c r="W858" i="3" l="1"/>
  <c r="L858" i="3"/>
  <c r="AC859" i="3"/>
  <c r="P859" i="3"/>
  <c r="Q859" i="3" s="1"/>
  <c r="R859" i="3" s="1"/>
  <c r="S859" i="3" s="1"/>
  <c r="AA859" i="3"/>
  <c r="Z859" i="3"/>
  <c r="U858" i="3" l="1"/>
  <c r="Y857" i="3"/>
  <c r="T859" i="3"/>
  <c r="D859" i="3" l="1"/>
  <c r="G859" i="3" s="1"/>
  <c r="AH859" i="3"/>
  <c r="AG859" i="3"/>
  <c r="E859" i="3"/>
  <c r="H859" i="3" s="1"/>
  <c r="K859" i="3" s="1"/>
  <c r="AE859" i="3" s="1"/>
  <c r="F859" i="3" l="1"/>
  <c r="I859" i="3"/>
  <c r="J859" i="3"/>
  <c r="AD859" i="3" s="1"/>
  <c r="M859" i="3"/>
  <c r="N859" i="3" s="1"/>
  <c r="V859" i="3"/>
  <c r="A860" i="3"/>
  <c r="B860" i="3" s="1"/>
  <c r="W859" i="3" l="1"/>
  <c r="AC860" i="3"/>
  <c r="Z860" i="3"/>
  <c r="AA860" i="3"/>
  <c r="P860" i="3"/>
  <c r="Q860" i="3" s="1"/>
  <c r="R860" i="3" s="1"/>
  <c r="S860" i="3" s="1"/>
  <c r="L859" i="3"/>
  <c r="T860" i="3" l="1"/>
  <c r="U859" i="3"/>
  <c r="Y858" i="3"/>
  <c r="D860" i="3" l="1"/>
  <c r="G860" i="3" s="1"/>
  <c r="AG860" i="3"/>
  <c r="AH860" i="3"/>
  <c r="E860" i="3"/>
  <c r="H860" i="3" s="1"/>
  <c r="I860" i="3" l="1"/>
  <c r="J860" i="3"/>
  <c r="AD860" i="3" s="1"/>
  <c r="M860" i="3"/>
  <c r="N860" i="3" s="1"/>
  <c r="K860" i="3"/>
  <c r="AE860" i="3" s="1"/>
  <c r="F860" i="3"/>
  <c r="L860" i="3" l="1"/>
  <c r="V860" i="3"/>
  <c r="W860" i="3" s="1"/>
  <c r="A861" i="3"/>
  <c r="B861" i="3" s="1"/>
  <c r="U860" i="3" l="1"/>
  <c r="Y859" i="3"/>
  <c r="Z861" i="3"/>
  <c r="P861" i="3"/>
  <c r="Q861" i="3" s="1"/>
  <c r="R861" i="3" s="1"/>
  <c r="S861" i="3" s="1"/>
  <c r="AC861" i="3"/>
  <c r="AA861" i="3"/>
  <c r="T861" i="3" l="1"/>
  <c r="E861" i="3" s="1"/>
  <c r="H861" i="3" s="1"/>
  <c r="K861" i="3" l="1"/>
  <c r="AE861" i="3" s="1"/>
  <c r="D861" i="3"/>
  <c r="AH861" i="3"/>
  <c r="AG861" i="3"/>
  <c r="F861" i="3" l="1"/>
  <c r="G861" i="3"/>
  <c r="V861" i="3"/>
  <c r="A862" i="3"/>
  <c r="B862" i="3" s="1"/>
  <c r="Z862" i="3" l="1"/>
  <c r="P862" i="3"/>
  <c r="Q862" i="3" s="1"/>
  <c r="R862" i="3" s="1"/>
  <c r="S862" i="3" s="1"/>
  <c r="AC862" i="3"/>
  <c r="AA862" i="3"/>
  <c r="I861" i="3"/>
  <c r="W861" i="3" s="1"/>
  <c r="J861" i="3"/>
  <c r="AD861" i="3" s="1"/>
  <c r="M861" i="3"/>
  <c r="N861" i="3" s="1"/>
  <c r="T862" i="3" l="1"/>
  <c r="L861" i="3"/>
  <c r="AH862" i="3" l="1"/>
  <c r="U861" i="3"/>
  <c r="D862" i="3" s="1"/>
  <c r="AG862" i="3"/>
  <c r="Y860" i="3"/>
  <c r="E862" i="3" l="1"/>
  <c r="H862" i="3" s="1"/>
  <c r="K862" i="3" s="1"/>
  <c r="AE862" i="3" s="1"/>
  <c r="G862" i="3"/>
  <c r="F862" i="3" l="1"/>
  <c r="I862" i="3"/>
  <c r="J862" i="3"/>
  <c r="AD862" i="3" s="1"/>
  <c r="M862" i="3"/>
  <c r="N862" i="3" s="1"/>
  <c r="V862" i="3"/>
  <c r="A863" i="3"/>
  <c r="B863" i="3" s="1"/>
  <c r="W862" i="3" l="1"/>
  <c r="L862" i="3"/>
  <c r="AA863" i="3"/>
  <c r="Z863" i="3"/>
  <c r="P863" i="3"/>
  <c r="Q863" i="3" s="1"/>
  <c r="R863" i="3" s="1"/>
  <c r="S863" i="3" s="1"/>
  <c r="AC863" i="3"/>
  <c r="T863" i="3" l="1"/>
  <c r="U862" i="3"/>
  <c r="Y861" i="3"/>
  <c r="E863" i="3" l="1"/>
  <c r="H863" i="3" s="1"/>
  <c r="K863" i="3" s="1"/>
  <c r="AE863" i="3" s="1"/>
  <c r="D863" i="3"/>
  <c r="G863" i="3" s="1"/>
  <c r="AH863" i="3"/>
  <c r="AG863" i="3"/>
  <c r="F863" i="3" l="1"/>
  <c r="I863" i="3"/>
  <c r="J863" i="3"/>
  <c r="AD863" i="3" s="1"/>
  <c r="M863" i="3"/>
  <c r="N863" i="3" s="1"/>
  <c r="V863" i="3"/>
  <c r="A864" i="3"/>
  <c r="B864" i="3" s="1"/>
  <c r="W863" i="3" l="1"/>
  <c r="L863" i="3"/>
  <c r="AC864" i="3"/>
  <c r="Z864" i="3"/>
  <c r="AA864" i="3"/>
  <c r="P864" i="3"/>
  <c r="Q864" i="3" s="1"/>
  <c r="R864" i="3" s="1"/>
  <c r="S864" i="3" s="1"/>
  <c r="U863" i="3" l="1"/>
  <c r="Y862" i="3"/>
  <c r="T864" i="3"/>
  <c r="AH864" i="3" s="1"/>
  <c r="E864" i="3" l="1"/>
  <c r="H864" i="3" s="1"/>
  <c r="D864" i="3"/>
  <c r="AG864" i="3"/>
  <c r="K864" i="3" l="1"/>
  <c r="AE864" i="3" s="1"/>
  <c r="F864" i="3"/>
  <c r="G864" i="3"/>
  <c r="I864" i="3" l="1"/>
  <c r="J864" i="3"/>
  <c r="AD864" i="3" s="1"/>
  <c r="M864" i="3"/>
  <c r="N864" i="3" s="1"/>
  <c r="V864" i="3"/>
  <c r="A865" i="3"/>
  <c r="B865" i="3" s="1"/>
  <c r="W864" i="3" l="1"/>
  <c r="L864" i="3"/>
  <c r="AD865" i="3"/>
  <c r="P865" i="3"/>
  <c r="Q865" i="3" s="1"/>
  <c r="R865" i="3" s="1"/>
  <c r="S865" i="3" s="1"/>
  <c r="AC865" i="3"/>
  <c r="Z865" i="3"/>
  <c r="AA865" i="3"/>
  <c r="U864" i="3" l="1"/>
  <c r="Y863" i="3"/>
  <c r="T865" i="3"/>
  <c r="AG865" i="3" s="1"/>
  <c r="E865" i="3" l="1"/>
  <c r="H865" i="3" s="1"/>
  <c r="K865" i="3" s="1"/>
  <c r="AE865" i="3" s="1"/>
  <c r="D865" i="3"/>
  <c r="G865" i="3" s="1"/>
  <c r="AH865" i="3"/>
  <c r="F865" i="3" l="1"/>
  <c r="V865" i="3"/>
  <c r="A866" i="3"/>
  <c r="B866" i="3" s="1"/>
  <c r="I865" i="3"/>
  <c r="J865" i="3"/>
  <c r="M865" i="3"/>
  <c r="N865" i="3" s="1"/>
  <c r="W865" i="3" l="1"/>
  <c r="L865" i="3"/>
  <c r="P866" i="3"/>
  <c r="Q866" i="3" s="1"/>
  <c r="R866" i="3" s="1"/>
  <c r="S866" i="3" s="1"/>
  <c r="AA866" i="3"/>
  <c r="Z866" i="3"/>
  <c r="AC866" i="3"/>
  <c r="AD866" i="3"/>
  <c r="T866" i="3" l="1"/>
  <c r="U865" i="3"/>
  <c r="Y864" i="3"/>
  <c r="D866" i="3" l="1"/>
  <c r="G866" i="3" s="1"/>
  <c r="AG866" i="3"/>
  <c r="AH866" i="3"/>
  <c r="E866" i="3"/>
  <c r="H866" i="3" s="1"/>
  <c r="F866" i="3" l="1"/>
  <c r="K866" i="3"/>
  <c r="AE866" i="3" s="1"/>
  <c r="I866" i="3"/>
  <c r="J866" i="3"/>
  <c r="M866" i="3"/>
  <c r="N866" i="3" s="1"/>
  <c r="L866" i="3" l="1"/>
  <c r="V866" i="3"/>
  <c r="W866" i="3" s="1"/>
  <c r="A867" i="3"/>
  <c r="B867" i="3" s="1"/>
  <c r="Z867" i="3" l="1"/>
  <c r="AA867" i="3"/>
  <c r="P867" i="3"/>
  <c r="Q867" i="3" s="1"/>
  <c r="R867" i="3" s="1"/>
  <c r="S867" i="3" s="1"/>
  <c r="AC867" i="3"/>
  <c r="AD867" i="3"/>
  <c r="U866" i="3"/>
  <c r="Y865" i="3"/>
  <c r="T867" i="3" l="1"/>
  <c r="D867" i="3" s="1"/>
  <c r="AG867" i="3" l="1"/>
  <c r="E867" i="3"/>
  <c r="H867" i="3" s="1"/>
  <c r="K867" i="3" s="1"/>
  <c r="AE867" i="3" s="1"/>
  <c r="AH867" i="3"/>
  <c r="G867" i="3"/>
  <c r="F867" i="3" l="1"/>
  <c r="I867" i="3"/>
  <c r="J867" i="3"/>
  <c r="M867" i="3"/>
  <c r="N867" i="3" s="1"/>
  <c r="V867" i="3"/>
  <c r="A868" i="3"/>
  <c r="B868" i="3" s="1"/>
  <c r="W867" i="3" l="1"/>
  <c r="L867" i="3"/>
  <c r="AD868" i="3"/>
  <c r="Z868" i="3"/>
  <c r="AA868" i="3"/>
  <c r="AC868" i="3"/>
  <c r="P868" i="3"/>
  <c r="Q868" i="3" s="1"/>
  <c r="R868" i="3" s="1"/>
  <c r="S868" i="3" s="1"/>
  <c r="T868" i="3" l="1"/>
  <c r="U867" i="3"/>
  <c r="Y866" i="3"/>
  <c r="E868" i="3" l="1"/>
  <c r="H868" i="3" s="1"/>
  <c r="K868" i="3" s="1"/>
  <c r="AE868" i="3" s="1"/>
  <c r="AH868" i="3"/>
  <c r="D868" i="3"/>
  <c r="G868" i="3" s="1"/>
  <c r="AG868" i="3"/>
  <c r="F868" i="3" l="1"/>
  <c r="I868" i="3"/>
  <c r="J868" i="3"/>
  <c r="M868" i="3"/>
  <c r="N868" i="3" s="1"/>
  <c r="V868" i="3"/>
  <c r="A869" i="3"/>
  <c r="B869" i="3" s="1"/>
  <c r="W868" i="3" l="1"/>
  <c r="L868" i="3"/>
  <c r="P869" i="3"/>
  <c r="Q869" i="3" s="1"/>
  <c r="R869" i="3" s="1"/>
  <c r="S869" i="3" s="1"/>
  <c r="Z869" i="3"/>
  <c r="AC869" i="3"/>
  <c r="AA869" i="3"/>
  <c r="AD869" i="3"/>
  <c r="T869" i="3" l="1"/>
  <c r="U868" i="3"/>
  <c r="Y867" i="3"/>
  <c r="E869" i="3" l="1"/>
  <c r="H869" i="3" s="1"/>
  <c r="K869" i="3" s="1"/>
  <c r="AE869" i="3" s="1"/>
  <c r="AG869" i="3"/>
  <c r="D869" i="3"/>
  <c r="AH869" i="3"/>
  <c r="V869" i="3" l="1"/>
  <c r="A870" i="3"/>
  <c r="B870" i="3" s="1"/>
  <c r="F869" i="3"/>
  <c r="G869" i="3"/>
  <c r="I869" i="3" l="1"/>
  <c r="W869" i="3" s="1"/>
  <c r="J869" i="3"/>
  <c r="M869" i="3"/>
  <c r="N869" i="3" s="1"/>
  <c r="AD870" i="3"/>
  <c r="Z870" i="3"/>
  <c r="AA870" i="3"/>
  <c r="P870" i="3"/>
  <c r="Q870" i="3" s="1"/>
  <c r="R870" i="3" s="1"/>
  <c r="S870" i="3" s="1"/>
  <c r="AC870" i="3"/>
  <c r="L869" i="3" l="1"/>
  <c r="T870" i="3"/>
  <c r="U869" i="3" l="1"/>
  <c r="E870" i="3" s="1"/>
  <c r="H870" i="3" s="1"/>
  <c r="AH870" i="3"/>
  <c r="AG870" i="3"/>
  <c r="Y868" i="3"/>
  <c r="D870" i="3" l="1"/>
  <c r="G870" i="3" s="1"/>
  <c r="K870" i="3"/>
  <c r="AE870" i="3" s="1"/>
  <c r="F870" i="3" l="1"/>
  <c r="V870" i="3"/>
  <c r="A871" i="3"/>
  <c r="B871" i="3" s="1"/>
  <c r="I870" i="3"/>
  <c r="J870" i="3"/>
  <c r="M870" i="3"/>
  <c r="N870" i="3" s="1"/>
  <c r="W870" i="3" l="1"/>
  <c r="L870" i="3"/>
  <c r="Z871" i="3"/>
  <c r="P871" i="3"/>
  <c r="Q871" i="3" s="1"/>
  <c r="R871" i="3" s="1"/>
  <c r="S871" i="3" s="1"/>
  <c r="AD871" i="3"/>
  <c r="AA871" i="3"/>
  <c r="AC871" i="3"/>
  <c r="T871" i="3" l="1"/>
  <c r="AH871" i="3" s="1"/>
  <c r="U870" i="3"/>
  <c r="Y869" i="3"/>
  <c r="E871" i="3" l="1"/>
  <c r="H871" i="3" s="1"/>
  <c r="K871" i="3" s="1"/>
  <c r="AE871" i="3" s="1"/>
  <c r="AG871" i="3"/>
  <c r="D871" i="3"/>
  <c r="F871" i="3" l="1"/>
  <c r="G871" i="3"/>
  <c r="V871" i="3"/>
  <c r="A872" i="3"/>
  <c r="B872" i="3" s="1"/>
  <c r="AC872" i="3" l="1"/>
  <c r="AA872" i="3"/>
  <c r="P872" i="3"/>
  <c r="Q872" i="3" s="1"/>
  <c r="R872" i="3" s="1"/>
  <c r="S872" i="3" s="1"/>
  <c r="Z872" i="3"/>
  <c r="AD872" i="3"/>
  <c r="I871" i="3"/>
  <c r="W871" i="3" s="1"/>
  <c r="J871" i="3"/>
  <c r="M871" i="3"/>
  <c r="N871" i="3" s="1"/>
  <c r="L871" i="3" l="1"/>
  <c r="T872" i="3"/>
  <c r="AG872" i="3" l="1"/>
  <c r="AH872" i="3"/>
  <c r="U871" i="3"/>
  <c r="E872" i="3" s="1"/>
  <c r="H872" i="3" s="1"/>
  <c r="Y870" i="3"/>
  <c r="D872" i="3" l="1"/>
  <c r="G872" i="3" s="1"/>
  <c r="K872" i="3"/>
  <c r="AE872" i="3" s="1"/>
  <c r="F872" i="3" l="1"/>
  <c r="I872" i="3"/>
  <c r="J872" i="3"/>
  <c r="M872" i="3"/>
  <c r="N872" i="3" s="1"/>
  <c r="V872" i="3"/>
  <c r="A873" i="3"/>
  <c r="B873" i="3" s="1"/>
  <c r="W872" i="3" l="1"/>
  <c r="L872" i="3"/>
  <c r="AA873" i="3"/>
  <c r="AC873" i="3"/>
  <c r="AD873" i="3"/>
  <c r="P873" i="3"/>
  <c r="Q873" i="3" s="1"/>
  <c r="R873" i="3" s="1"/>
  <c r="S873" i="3" s="1"/>
  <c r="Z873" i="3"/>
  <c r="T873" i="3" l="1"/>
  <c r="AH873" i="3" s="1"/>
  <c r="U872" i="3"/>
  <c r="Y871" i="3"/>
  <c r="AG873" i="3" l="1"/>
  <c r="E873" i="3"/>
  <c r="H873" i="3" s="1"/>
  <c r="D873" i="3"/>
  <c r="K873" i="3" l="1"/>
  <c r="AE873" i="3" s="1"/>
  <c r="F873" i="3"/>
  <c r="G873" i="3"/>
  <c r="I873" i="3" l="1"/>
  <c r="J873" i="3"/>
  <c r="M873" i="3"/>
  <c r="N873" i="3" s="1"/>
  <c r="V873" i="3"/>
  <c r="A874" i="3"/>
  <c r="B874" i="3" s="1"/>
  <c r="W873" i="3" l="1"/>
  <c r="L873" i="3"/>
  <c r="AA874" i="3"/>
  <c r="P874" i="3"/>
  <c r="Q874" i="3" s="1"/>
  <c r="R874" i="3" s="1"/>
  <c r="S874" i="3" s="1"/>
  <c r="Z874" i="3"/>
  <c r="AC874" i="3"/>
  <c r="T874" i="3" l="1"/>
  <c r="AH874" i="3" s="1"/>
  <c r="U873" i="3"/>
  <c r="Y872" i="3"/>
  <c r="E874" i="3" l="1"/>
  <c r="H874" i="3" s="1"/>
  <c r="D874" i="3"/>
  <c r="AG874" i="3"/>
  <c r="K874" i="3" l="1"/>
  <c r="AE874" i="3" s="1"/>
  <c r="F874" i="3"/>
  <c r="G874" i="3"/>
  <c r="I874" i="3" l="1"/>
  <c r="J874" i="3"/>
  <c r="AD874" i="3" s="1"/>
  <c r="M874" i="3"/>
  <c r="N874" i="3" s="1"/>
  <c r="V874" i="3"/>
  <c r="A875" i="3"/>
  <c r="B875" i="3" s="1"/>
  <c r="W874" i="3" l="1"/>
  <c r="L874" i="3"/>
  <c r="AA875" i="3"/>
  <c r="Z875" i="3"/>
  <c r="P875" i="3"/>
  <c r="Q875" i="3" s="1"/>
  <c r="R875" i="3" s="1"/>
  <c r="S875" i="3" s="1"/>
  <c r="AD875" i="3"/>
  <c r="AC875" i="3"/>
  <c r="T875" i="3" l="1"/>
  <c r="U874" i="3"/>
  <c r="Y873" i="3"/>
  <c r="D875" i="3" l="1"/>
  <c r="G875" i="3" s="1"/>
  <c r="E875" i="3"/>
  <c r="H875" i="3" s="1"/>
  <c r="K875" i="3" s="1"/>
  <c r="AE875" i="3" s="1"/>
  <c r="AH875" i="3"/>
  <c r="AG875" i="3"/>
  <c r="F875" i="3" l="1"/>
  <c r="V875" i="3"/>
  <c r="A876" i="3"/>
  <c r="B876" i="3" s="1"/>
  <c r="I875" i="3"/>
  <c r="J875" i="3"/>
  <c r="M875" i="3"/>
  <c r="N875" i="3" s="1"/>
  <c r="W875" i="3" l="1"/>
  <c r="L875" i="3"/>
  <c r="AC876" i="3"/>
  <c r="P876" i="3"/>
  <c r="Q876" i="3" s="1"/>
  <c r="R876" i="3" s="1"/>
  <c r="S876" i="3" s="1"/>
  <c r="Z876" i="3"/>
  <c r="AA876" i="3"/>
  <c r="AD876" i="3"/>
  <c r="U875" i="3" l="1"/>
  <c r="Y874" i="3"/>
  <c r="T876" i="3"/>
  <c r="AG876" i="3" s="1"/>
  <c r="D876" i="3" l="1"/>
  <c r="E876" i="3"/>
  <c r="H876" i="3" s="1"/>
  <c r="AH876" i="3"/>
  <c r="K876" i="3" l="1"/>
  <c r="AE876" i="3" s="1"/>
  <c r="F876" i="3"/>
  <c r="G876" i="3"/>
  <c r="I876" i="3" l="1"/>
  <c r="J876" i="3"/>
  <c r="M876" i="3"/>
  <c r="N876" i="3" s="1"/>
  <c r="V876" i="3"/>
  <c r="A877" i="3"/>
  <c r="B877" i="3" s="1"/>
  <c r="W876" i="3" l="1"/>
  <c r="L876" i="3"/>
  <c r="P877" i="3"/>
  <c r="Q877" i="3" s="1"/>
  <c r="R877" i="3" s="1"/>
  <c r="S877" i="3" s="1"/>
  <c r="AA877" i="3"/>
  <c r="Z877" i="3"/>
  <c r="AD877" i="3"/>
  <c r="AC877" i="3"/>
  <c r="U876" i="3" l="1"/>
  <c r="Y875" i="3"/>
  <c r="T877" i="3"/>
  <c r="D877" i="3" l="1"/>
  <c r="G877" i="3" s="1"/>
  <c r="AH877" i="3"/>
  <c r="AG877" i="3"/>
  <c r="E877" i="3"/>
  <c r="H877" i="3" s="1"/>
  <c r="I877" i="3" l="1"/>
  <c r="J877" i="3"/>
  <c r="M877" i="3"/>
  <c r="N877" i="3" s="1"/>
  <c r="K877" i="3"/>
  <c r="AE877" i="3" s="1"/>
  <c r="F877" i="3"/>
  <c r="V877" i="3" l="1"/>
  <c r="W877" i="3" s="1"/>
  <c r="A878" i="3"/>
  <c r="B878" i="3" s="1"/>
  <c r="L877" i="3"/>
  <c r="U877" i="3" l="1"/>
  <c r="Y876" i="3"/>
  <c r="Z878" i="3"/>
  <c r="AD878" i="3"/>
  <c r="AC878" i="3"/>
  <c r="AA878" i="3"/>
  <c r="P878" i="3"/>
  <c r="Q878" i="3" s="1"/>
  <c r="R878" i="3" s="1"/>
  <c r="S878" i="3" s="1"/>
  <c r="T878" i="3" l="1"/>
  <c r="E878" i="3" s="1"/>
  <c r="H878" i="3" s="1"/>
  <c r="D878" i="3" l="1"/>
  <c r="G878" i="3" s="1"/>
  <c r="AG878" i="3"/>
  <c r="AH878" i="3"/>
  <c r="K878" i="3"/>
  <c r="AE878" i="3" s="1"/>
  <c r="F878" i="3" l="1"/>
  <c r="I878" i="3"/>
  <c r="J878" i="3"/>
  <c r="M878" i="3"/>
  <c r="N878" i="3" s="1"/>
  <c r="V878" i="3"/>
  <c r="A879" i="3"/>
  <c r="B879" i="3" s="1"/>
  <c r="W878" i="3" l="1"/>
  <c r="L878" i="3"/>
  <c r="AC879" i="3"/>
  <c r="AD879" i="3"/>
  <c r="P879" i="3"/>
  <c r="Q879" i="3" s="1"/>
  <c r="R879" i="3" s="1"/>
  <c r="S879" i="3" s="1"/>
  <c r="AA879" i="3"/>
  <c r="Z879" i="3"/>
  <c r="T879" i="3" l="1"/>
  <c r="AG879" i="3" s="1"/>
  <c r="U878" i="3"/>
  <c r="Y877" i="3"/>
  <c r="E879" i="3" l="1"/>
  <c r="H879" i="3" s="1"/>
  <c r="D879" i="3"/>
  <c r="AH879" i="3"/>
  <c r="F879" i="3" l="1"/>
  <c r="G879" i="3"/>
  <c r="K879" i="3"/>
  <c r="AE879" i="3" s="1"/>
  <c r="I879" i="3" l="1"/>
  <c r="J879" i="3"/>
  <c r="M879" i="3"/>
  <c r="N879" i="3" s="1"/>
  <c r="V879" i="3"/>
  <c r="A880" i="3"/>
  <c r="B880" i="3" s="1"/>
  <c r="W879" i="3" l="1"/>
  <c r="L879" i="3"/>
  <c r="AD880" i="3"/>
  <c r="AA880" i="3"/>
  <c r="AC880" i="3"/>
  <c r="Z880" i="3"/>
  <c r="P880" i="3"/>
  <c r="Q880" i="3" s="1"/>
  <c r="R880" i="3" s="1"/>
  <c r="S880" i="3" s="1"/>
  <c r="T880" i="3" l="1"/>
  <c r="AG880" i="3" s="1"/>
  <c r="U879" i="3"/>
  <c r="Y878" i="3"/>
  <c r="D880" i="3" l="1"/>
  <c r="AH880" i="3"/>
  <c r="E880" i="3"/>
  <c r="H880" i="3" s="1"/>
  <c r="F880" i="3" l="1"/>
  <c r="G880" i="3"/>
  <c r="K880" i="3"/>
  <c r="AE880" i="3" s="1"/>
  <c r="V880" i="3" l="1"/>
  <c r="A881" i="3"/>
  <c r="B881" i="3" s="1"/>
  <c r="I880" i="3"/>
  <c r="J880" i="3"/>
  <c r="M880" i="3"/>
  <c r="N880" i="3" s="1"/>
  <c r="W880" i="3" l="1"/>
  <c r="L880" i="3"/>
  <c r="AA881" i="3"/>
  <c r="AD881" i="3"/>
  <c r="P881" i="3"/>
  <c r="Q881" i="3" s="1"/>
  <c r="R881" i="3" s="1"/>
  <c r="S881" i="3" s="1"/>
  <c r="Z881" i="3"/>
  <c r="AC881" i="3"/>
  <c r="U880" i="3" l="1"/>
  <c r="Y879" i="3"/>
  <c r="T881" i="3"/>
  <c r="E881" i="3" l="1"/>
  <c r="H881" i="3" s="1"/>
  <c r="K881" i="3" s="1"/>
  <c r="AE881" i="3" s="1"/>
  <c r="D881" i="3"/>
  <c r="AG881" i="3"/>
  <c r="AH881" i="3"/>
  <c r="F881" i="3" l="1"/>
  <c r="G881" i="3"/>
  <c r="I881" i="3" s="1"/>
  <c r="V881" i="3"/>
  <c r="A882" i="3"/>
  <c r="B882" i="3" s="1"/>
  <c r="W881" i="3" l="1"/>
  <c r="M881" i="3"/>
  <c r="N881" i="3" s="1"/>
  <c r="J881" i="3"/>
  <c r="L881" i="3" s="1"/>
  <c r="Z882" i="3"/>
  <c r="P882" i="3"/>
  <c r="Q882" i="3" s="1"/>
  <c r="R882" i="3" s="1"/>
  <c r="S882" i="3" s="1"/>
  <c r="AD882" i="3"/>
  <c r="AC882" i="3"/>
  <c r="AA882" i="3"/>
  <c r="T882" i="3" l="1"/>
  <c r="AG882" i="3" s="1"/>
  <c r="U881" i="3"/>
  <c r="Y880" i="3"/>
  <c r="AH882" i="3" l="1"/>
  <c r="D882" i="3"/>
  <c r="E882" i="3"/>
  <c r="H882" i="3" s="1"/>
  <c r="F882" i="3" l="1"/>
  <c r="G882" i="3"/>
  <c r="K882" i="3"/>
  <c r="AE882" i="3" s="1"/>
  <c r="I882" i="3" l="1"/>
  <c r="J882" i="3"/>
  <c r="M882" i="3"/>
  <c r="N882" i="3" s="1"/>
  <c r="V882" i="3"/>
  <c r="A883" i="3"/>
  <c r="B883" i="3" s="1"/>
  <c r="W882" i="3" l="1"/>
  <c r="L882" i="3"/>
  <c r="AC883" i="3"/>
  <c r="AA883" i="3"/>
  <c r="Z883" i="3"/>
  <c r="AD883" i="3"/>
  <c r="P883" i="3"/>
  <c r="Q883" i="3" s="1"/>
  <c r="R883" i="3" s="1"/>
  <c r="S883" i="3" s="1"/>
  <c r="T883" i="3" l="1"/>
  <c r="AG883" i="3" s="1"/>
  <c r="U882" i="3"/>
  <c r="Y881" i="3"/>
  <c r="E883" i="3" l="1"/>
  <c r="H883" i="3" s="1"/>
  <c r="K883" i="3" s="1"/>
  <c r="AE883" i="3" s="1"/>
  <c r="D883" i="3"/>
  <c r="AH883" i="3"/>
  <c r="V883" i="3" l="1"/>
  <c r="A884" i="3"/>
  <c r="B884" i="3" s="1"/>
  <c r="F883" i="3"/>
  <c r="G883" i="3"/>
  <c r="I883" i="3" l="1"/>
  <c r="W883" i="3" s="1"/>
  <c r="J883" i="3"/>
  <c r="M883" i="3"/>
  <c r="N883" i="3" s="1"/>
  <c r="AA884" i="3"/>
  <c r="Z884" i="3"/>
  <c r="P884" i="3"/>
  <c r="Q884" i="3" s="1"/>
  <c r="R884" i="3" s="1"/>
  <c r="S884" i="3" s="1"/>
  <c r="AC884" i="3"/>
  <c r="T884" i="3" l="1"/>
  <c r="L883" i="3"/>
  <c r="AG884" i="3" l="1"/>
  <c r="U883" i="3"/>
  <c r="D884" i="3" s="1"/>
  <c r="AH884" i="3"/>
  <c r="Y882" i="3"/>
  <c r="E884" i="3" l="1"/>
  <c r="H884" i="3" s="1"/>
  <c r="K884" i="3" s="1"/>
  <c r="AE884" i="3" s="1"/>
  <c r="G884" i="3"/>
  <c r="F884" i="3" l="1"/>
  <c r="V884" i="3"/>
  <c r="A885" i="3"/>
  <c r="B885" i="3" s="1"/>
  <c r="I884" i="3"/>
  <c r="J884" i="3"/>
  <c r="AD884" i="3" s="1"/>
  <c r="M884" i="3"/>
  <c r="N884" i="3" s="1"/>
  <c r="W884" i="3" l="1"/>
  <c r="L884" i="3"/>
  <c r="P885" i="3"/>
  <c r="Q885" i="3" s="1"/>
  <c r="R885" i="3" s="1"/>
  <c r="S885" i="3" s="1"/>
  <c r="AD885" i="3"/>
  <c r="Z885" i="3"/>
  <c r="AC885" i="3"/>
  <c r="AA885" i="3"/>
  <c r="U884" i="3" l="1"/>
  <c r="Y883" i="3"/>
  <c r="T885" i="3"/>
  <c r="AH885" i="3" s="1"/>
  <c r="D885" i="3" l="1"/>
  <c r="G885" i="3" s="1"/>
  <c r="E885" i="3"/>
  <c r="H885" i="3" s="1"/>
  <c r="K885" i="3" s="1"/>
  <c r="AE885" i="3" s="1"/>
  <c r="AG885" i="3"/>
  <c r="F885" i="3" l="1"/>
  <c r="V885" i="3"/>
  <c r="A886" i="3"/>
  <c r="B886" i="3" s="1"/>
  <c r="I885" i="3"/>
  <c r="J885" i="3"/>
  <c r="M885" i="3"/>
  <c r="N885" i="3" s="1"/>
  <c r="W885" i="3" l="1"/>
  <c r="L885" i="3"/>
  <c r="P886" i="3"/>
  <c r="Q886" i="3" s="1"/>
  <c r="R886" i="3" s="1"/>
  <c r="S886" i="3" s="1"/>
  <c r="AA886" i="3"/>
  <c r="AC886" i="3"/>
  <c r="AD886" i="3"/>
  <c r="Z886" i="3"/>
  <c r="U885" i="3" l="1"/>
  <c r="Y884" i="3"/>
  <c r="T886" i="3"/>
  <c r="E886" i="3" l="1"/>
  <c r="H886" i="3" s="1"/>
  <c r="K886" i="3" s="1"/>
  <c r="AE886" i="3" s="1"/>
  <c r="AH886" i="3"/>
  <c r="AG886" i="3"/>
  <c r="D886" i="3"/>
  <c r="F886" i="3" l="1"/>
  <c r="G886" i="3"/>
  <c r="V886" i="3"/>
  <c r="A887" i="3"/>
  <c r="B887" i="3" s="1"/>
  <c r="I886" i="3" l="1"/>
  <c r="W886" i="3" s="1"/>
  <c r="J886" i="3"/>
  <c r="M886" i="3"/>
  <c r="N886" i="3" s="1"/>
  <c r="P887" i="3"/>
  <c r="Q887" i="3" s="1"/>
  <c r="R887" i="3" s="1"/>
  <c r="S887" i="3" s="1"/>
  <c r="Z887" i="3"/>
  <c r="AD887" i="3"/>
  <c r="AA887" i="3"/>
  <c r="AC887" i="3"/>
  <c r="T887" i="3" l="1"/>
  <c r="L886" i="3"/>
  <c r="AG887" i="3" l="1"/>
  <c r="AH887" i="3"/>
  <c r="U886" i="3"/>
  <c r="D887" i="3" s="1"/>
  <c r="Y885" i="3"/>
  <c r="E887" i="3" l="1"/>
  <c r="H887" i="3" s="1"/>
  <c r="K887" i="3" s="1"/>
  <c r="AE887" i="3" s="1"/>
  <c r="G887" i="3"/>
  <c r="F887" i="3" l="1"/>
  <c r="I887" i="3"/>
  <c r="J887" i="3"/>
  <c r="M887" i="3"/>
  <c r="N887" i="3" s="1"/>
  <c r="V887" i="3"/>
  <c r="A888" i="3"/>
  <c r="B888" i="3" s="1"/>
  <c r="W887" i="3" l="1"/>
  <c r="L887" i="3"/>
  <c r="AC888" i="3"/>
  <c r="AD888" i="3"/>
  <c r="AA888" i="3"/>
  <c r="Z888" i="3"/>
  <c r="P888" i="3"/>
  <c r="Q888" i="3" s="1"/>
  <c r="R888" i="3" s="1"/>
  <c r="S888" i="3" s="1"/>
  <c r="T888" i="3" l="1"/>
  <c r="U887" i="3"/>
  <c r="Y886" i="3"/>
  <c r="E888" i="3" l="1"/>
  <c r="H888" i="3" s="1"/>
  <c r="K888" i="3" s="1"/>
  <c r="AE888" i="3" s="1"/>
  <c r="D888" i="3"/>
  <c r="G888" i="3" s="1"/>
  <c r="AG888" i="3"/>
  <c r="AH888" i="3"/>
  <c r="F888" i="3" l="1"/>
  <c r="I888" i="3"/>
  <c r="J888" i="3"/>
  <c r="M888" i="3"/>
  <c r="N888" i="3" s="1"/>
  <c r="V888" i="3"/>
  <c r="A889" i="3"/>
  <c r="B889" i="3" s="1"/>
  <c r="W888" i="3" l="1"/>
  <c r="L888" i="3"/>
  <c r="AA889" i="3"/>
  <c r="Z889" i="3"/>
  <c r="AD889" i="3"/>
  <c r="P889" i="3"/>
  <c r="Q889" i="3" s="1"/>
  <c r="R889" i="3" s="1"/>
  <c r="S889" i="3" s="1"/>
  <c r="AC889" i="3"/>
  <c r="T889" i="3" l="1"/>
  <c r="AG889" i="3" s="1"/>
  <c r="U888" i="3"/>
  <c r="Y887" i="3"/>
  <c r="AH889" i="3" l="1"/>
  <c r="D889" i="3"/>
  <c r="G889" i="3" s="1"/>
  <c r="E889" i="3"/>
  <c r="H889" i="3" s="1"/>
  <c r="I889" i="3" l="1"/>
  <c r="J889" i="3"/>
  <c r="M889" i="3"/>
  <c r="N889" i="3" s="1"/>
  <c r="K889" i="3"/>
  <c r="AE889" i="3" s="1"/>
  <c r="F889" i="3"/>
  <c r="L889" i="3" l="1"/>
  <c r="V889" i="3"/>
  <c r="W889" i="3" s="1"/>
  <c r="A890" i="3"/>
  <c r="B890" i="3" s="1"/>
  <c r="AA890" i="3" l="1"/>
  <c r="P890" i="3"/>
  <c r="Q890" i="3" s="1"/>
  <c r="R890" i="3" s="1"/>
  <c r="S890" i="3" s="1"/>
  <c r="Z890" i="3"/>
  <c r="AC890" i="3"/>
  <c r="AD890" i="3"/>
  <c r="U889" i="3"/>
  <c r="Y888" i="3"/>
  <c r="T890" i="3" l="1"/>
  <c r="AG890" i="3" s="1"/>
  <c r="E890" i="3" l="1"/>
  <c r="H890" i="3" s="1"/>
  <c r="K890" i="3" s="1"/>
  <c r="AE890" i="3" s="1"/>
  <c r="AH890" i="3"/>
  <c r="D890" i="3"/>
  <c r="F890" i="3" l="1"/>
  <c r="G890" i="3"/>
  <c r="V890" i="3"/>
  <c r="A891" i="3"/>
  <c r="B891" i="3" s="1"/>
  <c r="AD891" i="3" l="1"/>
  <c r="P891" i="3"/>
  <c r="Q891" i="3" s="1"/>
  <c r="R891" i="3" s="1"/>
  <c r="S891" i="3" s="1"/>
  <c r="AC891" i="3"/>
  <c r="Z891" i="3"/>
  <c r="AA891" i="3"/>
  <c r="I890" i="3"/>
  <c r="W890" i="3" s="1"/>
  <c r="J890" i="3"/>
  <c r="M890" i="3"/>
  <c r="N890" i="3" s="1"/>
  <c r="L890" i="3" l="1"/>
  <c r="T891" i="3"/>
  <c r="U890" i="3" l="1"/>
  <c r="D891" i="3" s="1"/>
  <c r="AH891" i="3"/>
  <c r="AG891" i="3"/>
  <c r="Y889" i="3"/>
  <c r="E891" i="3" l="1"/>
  <c r="H891" i="3" s="1"/>
  <c r="K891" i="3" s="1"/>
  <c r="AE891" i="3" s="1"/>
  <c r="G891" i="3"/>
  <c r="F891" i="3" l="1"/>
  <c r="I891" i="3"/>
  <c r="J891" i="3"/>
  <c r="M891" i="3"/>
  <c r="N891" i="3" s="1"/>
  <c r="V891" i="3"/>
  <c r="A892" i="3"/>
  <c r="B892" i="3" s="1"/>
  <c r="W891" i="3" l="1"/>
  <c r="L891" i="3"/>
  <c r="P892" i="3"/>
  <c r="Q892" i="3" s="1"/>
  <c r="R892" i="3" s="1"/>
  <c r="S892" i="3" s="1"/>
  <c r="AC892" i="3"/>
  <c r="AD892" i="3"/>
  <c r="Z892" i="3"/>
  <c r="AA892" i="3"/>
  <c r="U891" i="3" l="1"/>
  <c r="Y890" i="3"/>
  <c r="T892" i="3"/>
  <c r="AG892" i="3" s="1"/>
  <c r="AH892" i="3" l="1"/>
  <c r="D892" i="3"/>
  <c r="G892" i="3" s="1"/>
  <c r="E892" i="3"/>
  <c r="H892" i="3" s="1"/>
  <c r="F892" i="3" l="1"/>
  <c r="I892" i="3"/>
  <c r="J892" i="3"/>
  <c r="M892" i="3"/>
  <c r="N892" i="3" s="1"/>
  <c r="K892" i="3"/>
  <c r="AE892" i="3" s="1"/>
  <c r="V892" i="3" l="1"/>
  <c r="W892" i="3" s="1"/>
  <c r="A893" i="3"/>
  <c r="B893" i="3" s="1"/>
  <c r="L892" i="3"/>
  <c r="U892" i="3" l="1"/>
  <c r="Y891" i="3"/>
  <c r="AC893" i="3"/>
  <c r="P893" i="3"/>
  <c r="Q893" i="3" s="1"/>
  <c r="R893" i="3" s="1"/>
  <c r="S893" i="3" s="1"/>
  <c r="AD893" i="3"/>
  <c r="AA893" i="3"/>
  <c r="Z893" i="3"/>
  <c r="T893" i="3" l="1"/>
  <c r="E893" i="3" s="1"/>
  <c r="H893" i="3" s="1"/>
  <c r="AH893" i="3" l="1"/>
  <c r="D893" i="3"/>
  <c r="F893" i="3" s="1"/>
  <c r="AG893" i="3"/>
  <c r="K893" i="3"/>
  <c r="AE893" i="3" s="1"/>
  <c r="G893" i="3" l="1"/>
  <c r="M893" i="3" s="1"/>
  <c r="N893" i="3" s="1"/>
  <c r="V893" i="3"/>
  <c r="A894" i="3"/>
  <c r="B894" i="3" s="1"/>
  <c r="I893" i="3" l="1"/>
  <c r="W893" i="3" s="1"/>
  <c r="J893" i="3"/>
  <c r="L893" i="3" s="1"/>
  <c r="Z894" i="3"/>
  <c r="P894" i="3"/>
  <c r="Q894" i="3" s="1"/>
  <c r="R894" i="3" s="1"/>
  <c r="S894" i="3" s="1"/>
  <c r="AC894" i="3"/>
  <c r="AA894" i="3"/>
  <c r="U893" i="3" l="1"/>
  <c r="Y892" i="3"/>
  <c r="T894" i="3"/>
  <c r="AH894" i="3" s="1"/>
  <c r="D894" i="3" l="1"/>
  <c r="G894" i="3" s="1"/>
  <c r="AG894" i="3"/>
  <c r="E894" i="3"/>
  <c r="H894" i="3" s="1"/>
  <c r="F894" i="3" l="1"/>
  <c r="I894" i="3"/>
  <c r="J894" i="3"/>
  <c r="AD894" i="3" s="1"/>
  <c r="M894" i="3"/>
  <c r="N894" i="3" s="1"/>
  <c r="K894" i="3"/>
  <c r="AE894" i="3" s="1"/>
  <c r="V894" i="3" l="1"/>
  <c r="W894" i="3" s="1"/>
  <c r="A895" i="3"/>
  <c r="B895" i="3" s="1"/>
  <c r="L894" i="3"/>
  <c r="U894" i="3" l="1"/>
  <c r="Y893" i="3"/>
  <c r="AD895" i="3"/>
  <c r="P895" i="3"/>
  <c r="Q895" i="3" s="1"/>
  <c r="R895" i="3" s="1"/>
  <c r="S895" i="3" s="1"/>
  <c r="AA895" i="3"/>
  <c r="AC895" i="3"/>
  <c r="Z895" i="3"/>
  <c r="T895" i="3" l="1"/>
  <c r="AH895" i="3" s="1"/>
  <c r="E895" i="3" l="1"/>
  <c r="H895" i="3" s="1"/>
  <c r="K895" i="3" s="1"/>
  <c r="AE895" i="3" s="1"/>
  <c r="D895" i="3"/>
  <c r="AG895" i="3"/>
  <c r="F895" i="3" l="1"/>
  <c r="G895" i="3"/>
  <c r="V895" i="3"/>
  <c r="A896" i="3"/>
  <c r="B896" i="3" s="1"/>
  <c r="I895" i="3" l="1"/>
  <c r="W895" i="3" s="1"/>
  <c r="J895" i="3"/>
  <c r="M895" i="3"/>
  <c r="N895" i="3" s="1"/>
  <c r="Z896" i="3"/>
  <c r="P896" i="3"/>
  <c r="Q896" i="3" s="1"/>
  <c r="R896" i="3" s="1"/>
  <c r="S896" i="3" s="1"/>
  <c r="AC896" i="3"/>
  <c r="AD896" i="3"/>
  <c r="AA896" i="3"/>
  <c r="T896" i="3" l="1"/>
  <c r="L895" i="3"/>
  <c r="AG896" i="3" l="1"/>
  <c r="AH896" i="3"/>
  <c r="U895" i="3"/>
  <c r="E896" i="3" s="1"/>
  <c r="H896" i="3" s="1"/>
  <c r="Y894" i="3"/>
  <c r="D896" i="3" l="1"/>
  <c r="G896" i="3" s="1"/>
  <c r="K896" i="3"/>
  <c r="AE896" i="3" s="1"/>
  <c r="F896" i="3" l="1"/>
  <c r="V896" i="3"/>
  <c r="A897" i="3"/>
  <c r="B897" i="3" s="1"/>
  <c r="I896" i="3"/>
  <c r="J896" i="3"/>
  <c r="M896" i="3"/>
  <c r="N896" i="3" s="1"/>
  <c r="W896" i="3" l="1"/>
  <c r="L896" i="3"/>
  <c r="Z897" i="3"/>
  <c r="AC897" i="3"/>
  <c r="AA897" i="3"/>
  <c r="P897" i="3"/>
  <c r="Q897" i="3" s="1"/>
  <c r="R897" i="3" s="1"/>
  <c r="S897" i="3" s="1"/>
  <c r="AD897" i="3"/>
  <c r="U896" i="3" l="1"/>
  <c r="Y895" i="3"/>
  <c r="T897" i="3"/>
  <c r="D897" i="3" l="1"/>
  <c r="E897" i="3"/>
  <c r="H897" i="3" s="1"/>
  <c r="AH897" i="3"/>
  <c r="AG897" i="3"/>
  <c r="F897" i="3" l="1"/>
  <c r="G897" i="3"/>
  <c r="M897" i="3" s="1"/>
  <c r="N897" i="3" s="1"/>
  <c r="K897" i="3"/>
  <c r="AE897" i="3" s="1"/>
  <c r="I897" i="3" l="1"/>
  <c r="J897" i="3"/>
  <c r="L897" i="3" s="1"/>
  <c r="V897" i="3"/>
  <c r="A898" i="3"/>
  <c r="B898" i="3" s="1"/>
  <c r="W897" i="3" l="1"/>
  <c r="AA898" i="3"/>
  <c r="AD898" i="3"/>
  <c r="P898" i="3"/>
  <c r="Q898" i="3" s="1"/>
  <c r="R898" i="3" s="1"/>
  <c r="S898" i="3" s="1"/>
  <c r="Z898" i="3"/>
  <c r="AC898" i="3"/>
  <c r="U897" i="3"/>
  <c r="Y896" i="3"/>
  <c r="T898" i="3" l="1"/>
  <c r="D898" i="3" s="1"/>
  <c r="G898" i="3" l="1"/>
  <c r="AG898" i="3"/>
  <c r="E898" i="3"/>
  <c r="H898" i="3" s="1"/>
  <c r="AH898" i="3"/>
  <c r="F898" i="3" l="1"/>
  <c r="I898" i="3"/>
  <c r="J898" i="3"/>
  <c r="M898" i="3"/>
  <c r="N898" i="3" s="1"/>
  <c r="K898" i="3"/>
  <c r="AE898" i="3" s="1"/>
  <c r="V898" i="3" l="1"/>
  <c r="W898" i="3" s="1"/>
  <c r="A899" i="3"/>
  <c r="B899" i="3" s="1"/>
  <c r="L898" i="3"/>
  <c r="U898" i="3" l="1"/>
  <c r="Y897" i="3"/>
  <c r="AC899" i="3"/>
  <c r="Z899" i="3"/>
  <c r="P899" i="3"/>
  <c r="Q899" i="3" s="1"/>
  <c r="R899" i="3" s="1"/>
  <c r="S899" i="3" s="1"/>
  <c r="AD899" i="3"/>
  <c r="AA899" i="3"/>
  <c r="T899" i="3" l="1"/>
  <c r="E899" i="3" s="1"/>
  <c r="H899" i="3" s="1"/>
  <c r="D899" i="3" l="1"/>
  <c r="G899" i="3" s="1"/>
  <c r="AG899" i="3"/>
  <c r="AH899" i="3"/>
  <c r="K899" i="3"/>
  <c r="AE899" i="3" s="1"/>
  <c r="F899" i="3" l="1"/>
  <c r="I899" i="3"/>
  <c r="J899" i="3"/>
  <c r="M899" i="3"/>
  <c r="N899" i="3" s="1"/>
  <c r="V899" i="3"/>
  <c r="A900" i="3"/>
  <c r="B900" i="3" s="1"/>
  <c r="W899" i="3" l="1"/>
  <c r="L899" i="3"/>
  <c r="P900" i="3"/>
  <c r="Q900" i="3" s="1"/>
  <c r="R900" i="3" s="1"/>
  <c r="S900" i="3" s="1"/>
  <c r="AC900" i="3"/>
  <c r="Z900" i="3"/>
  <c r="AD900" i="3"/>
  <c r="AA900" i="3"/>
  <c r="U899" i="3" l="1"/>
  <c r="Y898" i="3"/>
  <c r="T900" i="3"/>
  <c r="D900" i="3" l="1"/>
  <c r="G900" i="3" s="1"/>
  <c r="AH900" i="3"/>
  <c r="AG900" i="3"/>
  <c r="E900" i="3"/>
  <c r="H900" i="3" s="1"/>
  <c r="K900" i="3" s="1"/>
  <c r="AE900" i="3" s="1"/>
  <c r="F900" i="3" l="1"/>
  <c r="V900" i="3"/>
  <c r="A901" i="3"/>
  <c r="B901" i="3" s="1"/>
  <c r="I900" i="3"/>
  <c r="J900" i="3"/>
  <c r="M900" i="3"/>
  <c r="N900" i="3" s="1"/>
  <c r="L900" i="3" l="1"/>
  <c r="W900" i="3"/>
  <c r="AD901" i="3"/>
  <c r="P901" i="3"/>
  <c r="Q901" i="3" s="1"/>
  <c r="R901" i="3" s="1"/>
  <c r="S901" i="3" s="1"/>
  <c r="AA901" i="3"/>
  <c r="AC901" i="3"/>
  <c r="Z901" i="3"/>
  <c r="U900" i="3" l="1"/>
  <c r="Y899" i="3"/>
  <c r="T901" i="3"/>
  <c r="E901" i="3" l="1"/>
  <c r="H901" i="3" s="1"/>
  <c r="K901" i="3" s="1"/>
  <c r="AE901" i="3" s="1"/>
  <c r="AG901" i="3"/>
  <c r="D901" i="3"/>
  <c r="AH901" i="3"/>
  <c r="F901" i="3" l="1"/>
  <c r="G901" i="3"/>
  <c r="V901" i="3"/>
  <c r="A902" i="3"/>
  <c r="B902" i="3" s="1"/>
  <c r="AD902" i="3" l="1"/>
  <c r="AC902" i="3"/>
  <c r="P902" i="3"/>
  <c r="Q902" i="3" s="1"/>
  <c r="R902" i="3" s="1"/>
  <c r="S902" i="3" s="1"/>
  <c r="Z902" i="3"/>
  <c r="AA902" i="3"/>
  <c r="I901" i="3"/>
  <c r="W901" i="3" s="1"/>
  <c r="J901" i="3"/>
  <c r="M901" i="3"/>
  <c r="N901" i="3" s="1"/>
  <c r="T902" i="3" l="1"/>
  <c r="L901" i="3"/>
  <c r="U901" i="3" l="1"/>
  <c r="E902" i="3" s="1"/>
  <c r="H902" i="3" s="1"/>
  <c r="AH902" i="3"/>
  <c r="AG902" i="3"/>
  <c r="Y900" i="3"/>
  <c r="D902" i="3" l="1"/>
  <c r="F902" i="3" s="1"/>
  <c r="K902" i="3"/>
  <c r="AE902" i="3" s="1"/>
  <c r="G902" i="3" l="1"/>
  <c r="J902" i="3" s="1"/>
  <c r="V902" i="3"/>
  <c r="A903" i="3"/>
  <c r="B903" i="3" s="1"/>
  <c r="M902" i="3" l="1"/>
  <c r="N902" i="3" s="1"/>
  <c r="I902" i="3"/>
  <c r="W902" i="3" s="1"/>
  <c r="L902" i="3"/>
  <c r="Z903" i="3"/>
  <c r="AC903" i="3"/>
  <c r="P903" i="3"/>
  <c r="Q903" i="3" s="1"/>
  <c r="R903" i="3" s="1"/>
  <c r="S903" i="3" s="1"/>
  <c r="AD903" i="3"/>
  <c r="AA903" i="3"/>
  <c r="T903" i="3" l="1"/>
  <c r="AH903" i="3" s="1"/>
  <c r="U902" i="3"/>
  <c r="Y901" i="3"/>
  <c r="D903" i="3" l="1"/>
  <c r="E903" i="3"/>
  <c r="H903" i="3" s="1"/>
  <c r="AG903" i="3"/>
  <c r="K903" i="3" l="1"/>
  <c r="AE903" i="3" s="1"/>
  <c r="F903" i="3"/>
  <c r="G903" i="3"/>
  <c r="I903" i="3" l="1"/>
  <c r="J903" i="3"/>
  <c r="M903" i="3"/>
  <c r="N903" i="3" s="1"/>
  <c r="V903" i="3"/>
  <c r="A904" i="3"/>
  <c r="B904" i="3" s="1"/>
  <c r="W903" i="3" l="1"/>
  <c r="L903" i="3"/>
  <c r="AC904" i="3"/>
  <c r="Z904" i="3"/>
  <c r="P904" i="3"/>
  <c r="Q904" i="3" s="1"/>
  <c r="R904" i="3" s="1"/>
  <c r="S904" i="3" s="1"/>
  <c r="AA904" i="3"/>
  <c r="U903" i="3" l="1"/>
  <c r="Y902" i="3"/>
  <c r="T904" i="3"/>
  <c r="AH904" i="3" s="1"/>
  <c r="E904" i="3" l="1"/>
  <c r="H904" i="3" s="1"/>
  <c r="AG904" i="3"/>
  <c r="D904" i="3"/>
  <c r="K904" i="3" l="1"/>
  <c r="AE904" i="3" s="1"/>
  <c r="F904" i="3"/>
  <c r="G904" i="3"/>
  <c r="V904" i="3" l="1"/>
  <c r="A905" i="3"/>
  <c r="B905" i="3" s="1"/>
  <c r="I904" i="3"/>
  <c r="J904" i="3"/>
  <c r="AD904" i="3" s="1"/>
  <c r="M904" i="3"/>
  <c r="N904" i="3" s="1"/>
  <c r="L904" i="3" l="1"/>
  <c r="W904" i="3"/>
  <c r="AA905" i="3"/>
  <c r="Z905" i="3"/>
  <c r="AD905" i="3"/>
  <c r="AC905" i="3"/>
  <c r="P905" i="3"/>
  <c r="Q905" i="3" s="1"/>
  <c r="R905" i="3" s="1"/>
  <c r="S905" i="3" s="1"/>
  <c r="U904" i="3" l="1"/>
  <c r="Y903" i="3"/>
  <c r="T905" i="3"/>
  <c r="D905" i="3" l="1"/>
  <c r="G905" i="3" s="1"/>
  <c r="E905" i="3"/>
  <c r="H905" i="3" s="1"/>
  <c r="K905" i="3" s="1"/>
  <c r="AE905" i="3" s="1"/>
  <c r="AG905" i="3"/>
  <c r="AH905" i="3"/>
  <c r="F905" i="3" l="1"/>
  <c r="I905" i="3"/>
  <c r="J905" i="3"/>
  <c r="M905" i="3"/>
  <c r="N905" i="3" s="1"/>
  <c r="V905" i="3"/>
  <c r="A906" i="3"/>
  <c r="B906" i="3" s="1"/>
  <c r="L905" i="3" l="1"/>
  <c r="W905" i="3"/>
  <c r="AC906" i="3"/>
  <c r="P906" i="3"/>
  <c r="Q906" i="3" s="1"/>
  <c r="R906" i="3" s="1"/>
  <c r="S906" i="3" s="1"/>
  <c r="Z906" i="3"/>
  <c r="AD906" i="3"/>
  <c r="AA906" i="3"/>
  <c r="T906" i="3" l="1"/>
  <c r="U905" i="3"/>
  <c r="Y904" i="3"/>
  <c r="D906" i="3" l="1"/>
  <c r="G906" i="3" s="1"/>
  <c r="AG906" i="3"/>
  <c r="E906" i="3"/>
  <c r="H906" i="3" s="1"/>
  <c r="AH906" i="3"/>
  <c r="F906" i="3" l="1"/>
  <c r="I906" i="3"/>
  <c r="J906" i="3"/>
  <c r="M906" i="3"/>
  <c r="N906" i="3" s="1"/>
  <c r="K906" i="3"/>
  <c r="AE906" i="3" s="1"/>
  <c r="V906" i="3" l="1"/>
  <c r="W906" i="3" s="1"/>
  <c r="A907" i="3"/>
  <c r="B907" i="3" s="1"/>
  <c r="L906" i="3"/>
  <c r="U906" i="3" l="1"/>
  <c r="Y905" i="3"/>
  <c r="Z907" i="3"/>
  <c r="AC907" i="3"/>
  <c r="AA907" i="3"/>
  <c r="P907" i="3"/>
  <c r="Q907" i="3" s="1"/>
  <c r="R907" i="3" s="1"/>
  <c r="S907" i="3" s="1"/>
  <c r="AD907" i="3"/>
  <c r="T907" i="3" l="1"/>
  <c r="AG907" i="3" s="1"/>
  <c r="E907" i="3" l="1"/>
  <c r="H907" i="3" s="1"/>
  <c r="K907" i="3" s="1"/>
  <c r="AE907" i="3" s="1"/>
  <c r="D907" i="3"/>
  <c r="AH907" i="3"/>
  <c r="V907" i="3" l="1"/>
  <c r="A908" i="3"/>
  <c r="B908" i="3" s="1"/>
  <c r="F907" i="3"/>
  <c r="G907" i="3"/>
  <c r="I907" i="3" l="1"/>
  <c r="W907" i="3" s="1"/>
  <c r="J907" i="3"/>
  <c r="M907" i="3"/>
  <c r="N907" i="3" s="1"/>
  <c r="P908" i="3"/>
  <c r="Q908" i="3" s="1"/>
  <c r="R908" i="3" s="1"/>
  <c r="S908" i="3" s="1"/>
  <c r="AA908" i="3"/>
  <c r="Z908" i="3"/>
  <c r="AD908" i="3"/>
  <c r="AC908" i="3"/>
  <c r="T908" i="3" l="1"/>
  <c r="L907" i="3"/>
  <c r="AG908" i="3" l="1"/>
  <c r="AH908" i="3"/>
  <c r="U907" i="3"/>
  <c r="E908" i="3" s="1"/>
  <c r="H908" i="3" s="1"/>
  <c r="Y906" i="3"/>
  <c r="D908" i="3" l="1"/>
  <c r="G908" i="3" s="1"/>
  <c r="K908" i="3"/>
  <c r="AE908" i="3" s="1"/>
  <c r="F908" i="3" l="1"/>
  <c r="I908" i="3"/>
  <c r="J908" i="3"/>
  <c r="M908" i="3"/>
  <c r="N908" i="3" s="1"/>
  <c r="V908" i="3"/>
  <c r="A909" i="3"/>
  <c r="B909" i="3" s="1"/>
  <c r="W908" i="3" l="1"/>
  <c r="L908" i="3"/>
  <c r="AA909" i="3"/>
  <c r="Z909" i="3"/>
  <c r="P909" i="3"/>
  <c r="Q909" i="3" s="1"/>
  <c r="R909" i="3" s="1"/>
  <c r="S909" i="3" s="1"/>
  <c r="AD909" i="3"/>
  <c r="AC909" i="3"/>
  <c r="U908" i="3" l="1"/>
  <c r="Y907" i="3"/>
  <c r="T909" i="3"/>
  <c r="AH909" i="3" s="1"/>
  <c r="AG909" i="3" l="1"/>
  <c r="D909" i="3"/>
  <c r="G909" i="3" s="1"/>
  <c r="E909" i="3"/>
  <c r="H909" i="3" s="1"/>
  <c r="K909" i="3" s="1"/>
  <c r="AE909" i="3" s="1"/>
  <c r="F909" i="3" l="1"/>
  <c r="V909" i="3"/>
  <c r="A910" i="3"/>
  <c r="B910" i="3" s="1"/>
  <c r="I909" i="3"/>
  <c r="J909" i="3"/>
  <c r="M909" i="3"/>
  <c r="N909" i="3" s="1"/>
  <c r="W909" i="3" l="1"/>
  <c r="L909" i="3"/>
  <c r="AA910" i="3"/>
  <c r="AC910" i="3"/>
  <c r="P910" i="3"/>
  <c r="Q910" i="3" s="1"/>
  <c r="R910" i="3" s="1"/>
  <c r="S910" i="3" s="1"/>
  <c r="AD910" i="3"/>
  <c r="Z910" i="3"/>
  <c r="U909" i="3" l="1"/>
  <c r="Y908" i="3"/>
  <c r="T910" i="3"/>
  <c r="AH910" i="3" s="1"/>
  <c r="D910" i="3" l="1"/>
  <c r="G910" i="3" s="1"/>
  <c r="AG910" i="3"/>
  <c r="E910" i="3"/>
  <c r="H910" i="3" s="1"/>
  <c r="F910" i="3" l="1"/>
  <c r="I910" i="3"/>
  <c r="J910" i="3"/>
  <c r="M910" i="3"/>
  <c r="N910" i="3" s="1"/>
  <c r="K910" i="3"/>
  <c r="AE910" i="3" s="1"/>
  <c r="V910" i="3" l="1"/>
  <c r="W910" i="3" s="1"/>
  <c r="A911" i="3"/>
  <c r="B911" i="3" s="1"/>
  <c r="L910" i="3"/>
  <c r="U910" i="3" l="1"/>
  <c r="Y909" i="3"/>
  <c r="AD911" i="3"/>
  <c r="AA911" i="3"/>
  <c r="P911" i="3"/>
  <c r="Q911" i="3" s="1"/>
  <c r="R911" i="3" s="1"/>
  <c r="S911" i="3" s="1"/>
  <c r="Z911" i="3"/>
  <c r="AC911" i="3"/>
  <c r="T911" i="3" l="1"/>
  <c r="E911" i="3" s="1"/>
  <c r="H911" i="3" s="1"/>
  <c r="AH911" i="3" l="1"/>
  <c r="D911" i="3"/>
  <c r="G911" i="3" s="1"/>
  <c r="AG911" i="3"/>
  <c r="K911" i="3"/>
  <c r="AE911" i="3" s="1"/>
  <c r="F911" i="3" l="1"/>
  <c r="I911" i="3"/>
  <c r="J911" i="3"/>
  <c r="M911" i="3"/>
  <c r="N911" i="3" s="1"/>
  <c r="V911" i="3"/>
  <c r="A912" i="3"/>
  <c r="B912" i="3" s="1"/>
  <c r="W911" i="3" l="1"/>
  <c r="L911" i="3"/>
  <c r="AA912" i="3"/>
  <c r="AD912" i="3"/>
  <c r="AC912" i="3"/>
  <c r="P912" i="3"/>
  <c r="Q912" i="3" s="1"/>
  <c r="R912" i="3" s="1"/>
  <c r="S912" i="3" s="1"/>
  <c r="Z912" i="3"/>
  <c r="T912" i="3" l="1"/>
  <c r="U911" i="3"/>
  <c r="Y910" i="3"/>
  <c r="D912" i="3" l="1"/>
  <c r="G912" i="3" s="1"/>
  <c r="AG912" i="3"/>
  <c r="AH912" i="3"/>
  <c r="E912" i="3"/>
  <c r="H912" i="3" s="1"/>
  <c r="I912" i="3" l="1"/>
  <c r="J912" i="3"/>
  <c r="M912" i="3"/>
  <c r="N912" i="3" s="1"/>
  <c r="F912" i="3"/>
  <c r="K912" i="3"/>
  <c r="AE912" i="3" s="1"/>
  <c r="L912" i="3" l="1"/>
  <c r="V912" i="3"/>
  <c r="W912" i="3" s="1"/>
  <c r="A913" i="3"/>
  <c r="B913" i="3" s="1"/>
  <c r="U912" i="3" l="1"/>
  <c r="Y911" i="3"/>
  <c r="Z913" i="3"/>
  <c r="AD913" i="3"/>
  <c r="P913" i="3"/>
  <c r="Q913" i="3" s="1"/>
  <c r="R913" i="3" s="1"/>
  <c r="S913" i="3" s="1"/>
  <c r="AA913" i="3"/>
  <c r="AC913" i="3"/>
  <c r="T913" i="3" l="1"/>
  <c r="AH913" i="3" s="1"/>
  <c r="D913" i="3" l="1"/>
  <c r="G913" i="3" s="1"/>
  <c r="AG913" i="3"/>
  <c r="E913" i="3"/>
  <c r="H913" i="3" s="1"/>
  <c r="F913" i="3" l="1"/>
  <c r="I913" i="3"/>
  <c r="J913" i="3"/>
  <c r="M913" i="3"/>
  <c r="N913" i="3" s="1"/>
  <c r="K913" i="3"/>
  <c r="AE913" i="3" s="1"/>
  <c r="V913" i="3" l="1"/>
  <c r="W913" i="3" s="1"/>
  <c r="A914" i="3"/>
  <c r="B914" i="3" s="1"/>
  <c r="L913" i="3"/>
  <c r="U913" i="3" l="1"/>
  <c r="Y912" i="3"/>
  <c r="AA914" i="3"/>
  <c r="Z914" i="3"/>
  <c r="AC914" i="3"/>
  <c r="P914" i="3"/>
  <c r="Q914" i="3" s="1"/>
  <c r="R914" i="3" s="1"/>
  <c r="S914" i="3" s="1"/>
  <c r="T914" i="3" l="1"/>
  <c r="D914" i="3" s="1"/>
  <c r="E914" i="3" l="1"/>
  <c r="H914" i="3" s="1"/>
  <c r="K914" i="3" s="1"/>
  <c r="AE914" i="3" s="1"/>
  <c r="G914" i="3"/>
  <c r="AH914" i="3"/>
  <c r="AG914" i="3"/>
  <c r="F914" i="3" l="1"/>
  <c r="I914" i="3"/>
  <c r="J914" i="3"/>
  <c r="AD914" i="3" s="1"/>
  <c r="M914" i="3"/>
  <c r="N914" i="3" s="1"/>
  <c r="V914" i="3"/>
  <c r="A915" i="3"/>
  <c r="B915" i="3" s="1"/>
  <c r="W914" i="3" l="1"/>
  <c r="L914" i="3"/>
  <c r="P915" i="3"/>
  <c r="Q915" i="3" s="1"/>
  <c r="R915" i="3" s="1"/>
  <c r="S915" i="3" s="1"/>
  <c r="AA915" i="3"/>
  <c r="AC915" i="3"/>
  <c r="Z915" i="3"/>
  <c r="AD915" i="3"/>
  <c r="U914" i="3" l="1"/>
  <c r="Y913" i="3"/>
  <c r="T915" i="3"/>
  <c r="AH915" i="3" s="1"/>
  <c r="E915" i="3" l="1"/>
  <c r="H915" i="3" s="1"/>
  <c r="D915" i="3"/>
  <c r="AG915" i="3"/>
  <c r="K915" i="3" l="1"/>
  <c r="AE915" i="3" s="1"/>
  <c r="F915" i="3"/>
  <c r="G915" i="3"/>
  <c r="I915" i="3" l="1"/>
  <c r="J915" i="3"/>
  <c r="M915" i="3"/>
  <c r="N915" i="3" s="1"/>
  <c r="V915" i="3"/>
  <c r="A916" i="3"/>
  <c r="B916" i="3" s="1"/>
  <c r="W915" i="3" l="1"/>
  <c r="L915" i="3"/>
  <c r="AC916" i="3"/>
  <c r="AA916" i="3"/>
  <c r="Z916" i="3"/>
  <c r="P916" i="3"/>
  <c r="Q916" i="3" s="1"/>
  <c r="R916" i="3" s="1"/>
  <c r="S916" i="3" s="1"/>
  <c r="AD916" i="3"/>
  <c r="U915" i="3" l="1"/>
  <c r="Y914" i="3"/>
  <c r="T916" i="3"/>
  <c r="D916" i="3" l="1"/>
  <c r="G916" i="3" s="1"/>
  <c r="AG916" i="3"/>
  <c r="AH916" i="3"/>
  <c r="E916" i="3"/>
  <c r="H916" i="3" s="1"/>
  <c r="K916" i="3" l="1"/>
  <c r="AE916" i="3" s="1"/>
  <c r="I916" i="3"/>
  <c r="J916" i="3"/>
  <c r="M916" i="3"/>
  <c r="N916" i="3" s="1"/>
  <c r="F916" i="3"/>
  <c r="L916" i="3" l="1"/>
  <c r="V916" i="3"/>
  <c r="W916" i="3" s="1"/>
  <c r="A917" i="3"/>
  <c r="B917" i="3" s="1"/>
  <c r="U916" i="3" l="1"/>
  <c r="Y915" i="3"/>
  <c r="AD917" i="3"/>
  <c r="AC917" i="3"/>
  <c r="Z917" i="3"/>
  <c r="P917" i="3"/>
  <c r="Q917" i="3" s="1"/>
  <c r="R917" i="3" s="1"/>
  <c r="S917" i="3" s="1"/>
  <c r="AA917" i="3"/>
  <c r="T917" i="3" l="1"/>
  <c r="AG917" i="3" s="1"/>
  <c r="E917" i="3" l="1"/>
  <c r="H917" i="3" s="1"/>
  <c r="K917" i="3" s="1"/>
  <c r="AE917" i="3" s="1"/>
  <c r="AH917" i="3"/>
  <c r="D917" i="3"/>
  <c r="F917" i="3" l="1"/>
  <c r="G917" i="3"/>
  <c r="J917" i="3" s="1"/>
  <c r="V917" i="3"/>
  <c r="A918" i="3"/>
  <c r="B918" i="3" s="1"/>
  <c r="M917" i="3" l="1"/>
  <c r="N917" i="3" s="1"/>
  <c r="I917" i="3"/>
  <c r="W917" i="3" s="1"/>
  <c r="L917" i="3"/>
  <c r="AC918" i="3"/>
  <c r="AD918" i="3"/>
  <c r="AA918" i="3"/>
  <c r="Z918" i="3"/>
  <c r="P918" i="3"/>
  <c r="Q918" i="3" s="1"/>
  <c r="R918" i="3" s="1"/>
  <c r="S918" i="3" s="1"/>
  <c r="T918" i="3" l="1"/>
  <c r="U917" i="3"/>
  <c r="Y916" i="3"/>
  <c r="E918" i="3" l="1"/>
  <c r="H918" i="3" s="1"/>
  <c r="K918" i="3" s="1"/>
  <c r="AE918" i="3" s="1"/>
  <c r="AH918" i="3"/>
  <c r="D918" i="3"/>
  <c r="G918" i="3" s="1"/>
  <c r="AG918" i="3"/>
  <c r="F918" i="3" l="1"/>
  <c r="I918" i="3"/>
  <c r="J918" i="3"/>
  <c r="M918" i="3"/>
  <c r="N918" i="3" s="1"/>
  <c r="V918" i="3"/>
  <c r="A919" i="3"/>
  <c r="B919" i="3" s="1"/>
  <c r="L918" i="3" l="1"/>
  <c r="W918" i="3"/>
  <c r="P919" i="3"/>
  <c r="Q919" i="3" s="1"/>
  <c r="R919" i="3" s="1"/>
  <c r="S919" i="3" s="1"/>
  <c r="Z919" i="3"/>
  <c r="AC919" i="3"/>
  <c r="AD919" i="3"/>
  <c r="AA919" i="3"/>
  <c r="U918" i="3" l="1"/>
  <c r="Y917" i="3"/>
  <c r="T919" i="3"/>
  <c r="AG919" i="3" s="1"/>
  <c r="E919" i="3" l="1"/>
  <c r="H919" i="3" s="1"/>
  <c r="K919" i="3" s="1"/>
  <c r="AE919" i="3" s="1"/>
  <c r="AH919" i="3"/>
  <c r="D919" i="3"/>
  <c r="V919" i="3" l="1"/>
  <c r="A920" i="3"/>
  <c r="B920" i="3" s="1"/>
  <c r="F919" i="3"/>
  <c r="G919" i="3"/>
  <c r="I919" i="3" l="1"/>
  <c r="W919" i="3" s="1"/>
  <c r="J919" i="3"/>
  <c r="M919" i="3"/>
  <c r="N919" i="3" s="1"/>
  <c r="AD920" i="3"/>
  <c r="AC920" i="3"/>
  <c r="P920" i="3"/>
  <c r="Q920" i="3" s="1"/>
  <c r="R920" i="3" s="1"/>
  <c r="S920" i="3" s="1"/>
  <c r="AA920" i="3"/>
  <c r="Z920" i="3"/>
  <c r="T920" i="3" l="1"/>
  <c r="L919" i="3"/>
  <c r="AH920" i="3" l="1"/>
  <c r="U919" i="3"/>
  <c r="E920" i="3" s="1"/>
  <c r="H920" i="3" s="1"/>
  <c r="AG920" i="3"/>
  <c r="Y918" i="3"/>
  <c r="D920" i="3" l="1"/>
  <c r="G920" i="3" s="1"/>
  <c r="K920" i="3"/>
  <c r="AE920" i="3" s="1"/>
  <c r="F920" i="3" l="1"/>
  <c r="V920" i="3"/>
  <c r="A921" i="3"/>
  <c r="B921" i="3" s="1"/>
  <c r="I920" i="3"/>
  <c r="J920" i="3"/>
  <c r="M920" i="3"/>
  <c r="N920" i="3" s="1"/>
  <c r="W920" i="3" l="1"/>
  <c r="L920" i="3"/>
  <c r="AA921" i="3"/>
  <c r="Z921" i="3"/>
  <c r="P921" i="3"/>
  <c r="Q921" i="3" s="1"/>
  <c r="R921" i="3" s="1"/>
  <c r="S921" i="3" s="1"/>
  <c r="AD921" i="3"/>
  <c r="AC921" i="3"/>
  <c r="U920" i="3" l="1"/>
  <c r="Y919" i="3"/>
  <c r="T921" i="3"/>
  <c r="AG921" i="3" s="1"/>
  <c r="E921" i="3" l="1"/>
  <c r="H921" i="3" s="1"/>
  <c r="K921" i="3" s="1"/>
  <c r="AE921" i="3" s="1"/>
  <c r="AH921" i="3"/>
  <c r="D921" i="3"/>
  <c r="G921" i="3" s="1"/>
  <c r="F921" i="3" l="1"/>
  <c r="I921" i="3"/>
  <c r="J921" i="3"/>
  <c r="M921" i="3"/>
  <c r="N921" i="3" s="1"/>
  <c r="V921" i="3"/>
  <c r="A922" i="3"/>
  <c r="B922" i="3" s="1"/>
  <c r="W921" i="3" l="1"/>
  <c r="L921" i="3"/>
  <c r="AC922" i="3"/>
  <c r="AA922" i="3"/>
  <c r="Z922" i="3"/>
  <c r="P922" i="3"/>
  <c r="Q922" i="3" s="1"/>
  <c r="R922" i="3" s="1"/>
  <c r="S922" i="3" s="1"/>
  <c r="AD922" i="3"/>
  <c r="U921" i="3" l="1"/>
  <c r="Y920" i="3"/>
  <c r="T922" i="3"/>
  <c r="E922" i="3" l="1"/>
  <c r="H922" i="3" s="1"/>
  <c r="K922" i="3" s="1"/>
  <c r="AE922" i="3" s="1"/>
  <c r="AH922" i="3"/>
  <c r="D922" i="3"/>
  <c r="AG922" i="3"/>
  <c r="F922" i="3" l="1"/>
  <c r="G922" i="3"/>
  <c r="V922" i="3"/>
  <c r="A923" i="3"/>
  <c r="B923" i="3" s="1"/>
  <c r="AD923" i="3" l="1"/>
  <c r="AC923" i="3"/>
  <c r="Z923" i="3"/>
  <c r="AA923" i="3"/>
  <c r="P923" i="3"/>
  <c r="Q923" i="3" s="1"/>
  <c r="R923" i="3" s="1"/>
  <c r="S923" i="3" s="1"/>
  <c r="I922" i="3"/>
  <c r="W922" i="3" s="1"/>
  <c r="J922" i="3"/>
  <c r="M922" i="3"/>
  <c r="N922" i="3" s="1"/>
  <c r="L922" i="3" l="1"/>
  <c r="T923" i="3"/>
  <c r="AH923" i="3" l="1"/>
  <c r="AG923" i="3"/>
  <c r="U922" i="3"/>
  <c r="D923" i="3" s="1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M923" i="3"/>
  <c r="N923" i="3" s="1"/>
  <c r="W923" i="3" l="1"/>
  <c r="L923" i="3"/>
  <c r="Z924" i="3"/>
  <c r="AC924" i="3"/>
  <c r="P924" i="3"/>
  <c r="Q924" i="3" s="1"/>
  <c r="R924" i="3" s="1"/>
  <c r="S924" i="3" s="1"/>
  <c r="AA924" i="3"/>
  <c r="U923" i="3" l="1"/>
  <c r="Y922" i="3"/>
  <c r="T924" i="3"/>
  <c r="AH924" i="3" s="1"/>
  <c r="D924" i="3" l="1"/>
  <c r="G924" i="3" s="1"/>
  <c r="AG924" i="3"/>
  <c r="E924" i="3"/>
  <c r="H924" i="3" s="1"/>
  <c r="K924" i="3" s="1"/>
  <c r="AE924" i="3" s="1"/>
  <c r="F924" i="3" l="1"/>
  <c r="I924" i="3"/>
  <c r="J924" i="3"/>
  <c r="AD924" i="3" s="1"/>
  <c r="M924" i="3"/>
  <c r="N924" i="3" s="1"/>
  <c r="V924" i="3"/>
  <c r="A925" i="3"/>
  <c r="B925" i="3" s="1"/>
  <c r="W924" i="3" l="1"/>
  <c r="L924" i="3"/>
  <c r="Z925" i="3"/>
  <c r="AA925" i="3"/>
  <c r="AD925" i="3"/>
  <c r="AC925" i="3"/>
  <c r="P925" i="3"/>
  <c r="Q925" i="3" s="1"/>
  <c r="R925" i="3" s="1"/>
  <c r="S925" i="3" s="1"/>
  <c r="T925" i="3" l="1"/>
  <c r="AG925" i="3" s="1"/>
  <c r="U924" i="3"/>
  <c r="Y923" i="3"/>
  <c r="AH925" i="3" l="1"/>
  <c r="E925" i="3"/>
  <c r="H925" i="3" s="1"/>
  <c r="D925" i="3"/>
  <c r="K925" i="3" l="1"/>
  <c r="AE925" i="3" s="1"/>
  <c r="F925" i="3"/>
  <c r="G925" i="3"/>
  <c r="I925" i="3" l="1"/>
  <c r="J925" i="3"/>
  <c r="M925" i="3"/>
  <c r="N925" i="3" s="1"/>
  <c r="V925" i="3"/>
  <c r="A926" i="3"/>
  <c r="B926" i="3" s="1"/>
  <c r="W925" i="3" l="1"/>
  <c r="L925" i="3"/>
  <c r="AC926" i="3"/>
  <c r="AA926" i="3"/>
  <c r="AD926" i="3"/>
  <c r="P926" i="3"/>
  <c r="Q926" i="3" s="1"/>
  <c r="R926" i="3" s="1"/>
  <c r="S926" i="3" s="1"/>
  <c r="Z926" i="3"/>
  <c r="U925" i="3" l="1"/>
  <c r="Y924" i="3"/>
  <c r="T926" i="3"/>
  <c r="AG926" i="3" s="1"/>
  <c r="E926" i="3" l="1"/>
  <c r="H926" i="3" s="1"/>
  <c r="K926" i="3" s="1"/>
  <c r="AE926" i="3" s="1"/>
  <c r="AH926" i="3"/>
  <c r="D926" i="3"/>
  <c r="V926" i="3" l="1"/>
  <c r="A927" i="3"/>
  <c r="B927" i="3" s="1"/>
  <c r="F926" i="3"/>
  <c r="G926" i="3"/>
  <c r="I926" i="3" l="1"/>
  <c r="W926" i="3" s="1"/>
  <c r="J926" i="3"/>
  <c r="M926" i="3"/>
  <c r="N926" i="3" s="1"/>
  <c r="AD927" i="3"/>
  <c r="Z927" i="3"/>
  <c r="P927" i="3"/>
  <c r="Q927" i="3" s="1"/>
  <c r="R927" i="3" s="1"/>
  <c r="S927" i="3" s="1"/>
  <c r="AA927" i="3"/>
  <c r="AC927" i="3"/>
  <c r="T927" i="3" l="1"/>
  <c r="L926" i="3"/>
  <c r="U926" i="3" l="1"/>
  <c r="D927" i="3" s="1"/>
  <c r="AG927" i="3"/>
  <c r="AH927" i="3"/>
  <c r="Y925" i="3"/>
  <c r="G927" i="3" l="1"/>
  <c r="E927" i="3"/>
  <c r="H927" i="3" s="1"/>
  <c r="F927" i="3" l="1"/>
  <c r="K927" i="3"/>
  <c r="AE927" i="3" s="1"/>
  <c r="I927" i="3"/>
  <c r="J927" i="3"/>
  <c r="M927" i="3"/>
  <c r="N927" i="3" s="1"/>
  <c r="L927" i="3" l="1"/>
  <c r="V927" i="3"/>
  <c r="W927" i="3" s="1"/>
  <c r="A928" i="3"/>
  <c r="B928" i="3" s="1"/>
  <c r="U927" i="3" l="1"/>
  <c r="Y926" i="3"/>
  <c r="AC928" i="3"/>
  <c r="AD928" i="3"/>
  <c r="AA928" i="3"/>
  <c r="Z928" i="3"/>
  <c r="P928" i="3"/>
  <c r="Q928" i="3" s="1"/>
  <c r="R928" i="3" s="1"/>
  <c r="S928" i="3" s="1"/>
  <c r="T928" i="3" l="1"/>
  <c r="D928" i="3" s="1"/>
  <c r="AH928" i="3" l="1"/>
  <c r="E928" i="3"/>
  <c r="H928" i="3" s="1"/>
  <c r="K928" i="3" s="1"/>
  <c r="AE928" i="3" s="1"/>
  <c r="AG928" i="3"/>
  <c r="G928" i="3"/>
  <c r="F928" i="3" l="1"/>
  <c r="I928" i="3"/>
  <c r="J928" i="3"/>
  <c r="M928" i="3"/>
  <c r="N928" i="3" s="1"/>
  <c r="V928" i="3"/>
  <c r="A929" i="3"/>
  <c r="B929" i="3" s="1"/>
  <c r="L928" i="3" l="1"/>
  <c r="P929" i="3"/>
  <c r="Q929" i="3" s="1"/>
  <c r="R929" i="3" s="1"/>
  <c r="S929" i="3" s="1"/>
  <c r="AD929" i="3"/>
  <c r="AC929" i="3"/>
  <c r="Z929" i="3"/>
  <c r="AA929" i="3"/>
  <c r="W928" i="3"/>
  <c r="T929" i="3" l="1"/>
  <c r="AG929" i="3" s="1"/>
  <c r="U928" i="3"/>
  <c r="Y927" i="3"/>
  <c r="AH929" i="3" l="1"/>
  <c r="D929" i="3"/>
  <c r="E929" i="3"/>
  <c r="H929" i="3" s="1"/>
  <c r="F929" i="3" l="1"/>
  <c r="G929" i="3"/>
  <c r="K929" i="3"/>
  <c r="AE929" i="3" s="1"/>
  <c r="V929" i="3" l="1"/>
  <c r="A930" i="3"/>
  <c r="B930" i="3" s="1"/>
  <c r="I929" i="3"/>
  <c r="J929" i="3"/>
  <c r="M929" i="3"/>
  <c r="N929" i="3" s="1"/>
  <c r="L929" i="3" l="1"/>
  <c r="AD930" i="3"/>
  <c r="P930" i="3"/>
  <c r="Q930" i="3" s="1"/>
  <c r="R930" i="3" s="1"/>
  <c r="S930" i="3" s="1"/>
  <c r="AC930" i="3"/>
  <c r="Z930" i="3"/>
  <c r="AA930" i="3"/>
  <c r="W929" i="3"/>
  <c r="T930" i="3" l="1"/>
  <c r="U929" i="3"/>
  <c r="Y928" i="3"/>
  <c r="D930" i="3" l="1"/>
  <c r="G930" i="3" s="1"/>
  <c r="AH930" i="3"/>
  <c r="E930" i="3"/>
  <c r="H930" i="3" s="1"/>
  <c r="AG930" i="3"/>
  <c r="F930" i="3" l="1"/>
  <c r="I930" i="3"/>
  <c r="J930" i="3"/>
  <c r="M930" i="3"/>
  <c r="N930" i="3" s="1"/>
  <c r="K930" i="3"/>
  <c r="AE930" i="3" s="1"/>
  <c r="V930" i="3" l="1"/>
  <c r="W930" i="3" s="1"/>
  <c r="A931" i="3"/>
  <c r="B931" i="3" s="1"/>
  <c r="L930" i="3"/>
  <c r="U930" i="3" l="1"/>
  <c r="Y929" i="3"/>
  <c r="AC931" i="3"/>
  <c r="AA931" i="3"/>
  <c r="Z931" i="3"/>
  <c r="P931" i="3"/>
  <c r="Q931" i="3" s="1"/>
  <c r="R931" i="3" s="1"/>
  <c r="S931" i="3" s="1"/>
  <c r="AD931" i="3"/>
  <c r="T931" i="3" l="1"/>
  <c r="AH931" i="3" s="1"/>
  <c r="E931" i="3" l="1"/>
  <c r="H931" i="3" s="1"/>
  <c r="D931" i="3"/>
  <c r="AG931" i="3"/>
  <c r="K931" i="3" l="1"/>
  <c r="AE931" i="3" s="1"/>
  <c r="F931" i="3"/>
  <c r="G931" i="3"/>
  <c r="I931" i="3" l="1"/>
  <c r="J931" i="3"/>
  <c r="M931" i="3"/>
  <c r="N931" i="3" s="1"/>
  <c r="V931" i="3"/>
  <c r="A932" i="3"/>
  <c r="B932" i="3" s="1"/>
  <c r="W931" i="3" l="1"/>
  <c r="L931" i="3"/>
  <c r="AA932" i="3"/>
  <c r="AD932" i="3"/>
  <c r="Z932" i="3"/>
  <c r="AC932" i="3"/>
  <c r="P932" i="3"/>
  <c r="Q932" i="3" s="1"/>
  <c r="R932" i="3" s="1"/>
  <c r="S932" i="3" s="1"/>
  <c r="U931" i="3" l="1"/>
  <c r="Y930" i="3"/>
  <c r="T932" i="3"/>
  <c r="AH932" i="3" s="1"/>
  <c r="E932" i="3" l="1"/>
  <c r="H932" i="3" s="1"/>
  <c r="D932" i="3"/>
  <c r="AG932" i="3"/>
  <c r="K932" i="3" l="1"/>
  <c r="AE932" i="3" s="1"/>
  <c r="F932" i="3"/>
  <c r="G932" i="3"/>
  <c r="V932" i="3" l="1"/>
  <c r="A933" i="3"/>
  <c r="B933" i="3" s="1"/>
  <c r="I932" i="3"/>
  <c r="J932" i="3"/>
  <c r="M932" i="3"/>
  <c r="N932" i="3" s="1"/>
  <c r="L932" i="3" l="1"/>
  <c r="W932" i="3"/>
  <c r="AA933" i="3"/>
  <c r="P933" i="3"/>
  <c r="Q933" i="3" s="1"/>
  <c r="R933" i="3" s="1"/>
  <c r="S933" i="3" s="1"/>
  <c r="Z933" i="3"/>
  <c r="AD933" i="3"/>
  <c r="AC933" i="3"/>
  <c r="U932" i="3" l="1"/>
  <c r="Y931" i="3"/>
  <c r="T933" i="3"/>
  <c r="D933" i="3" l="1"/>
  <c r="G933" i="3" s="1"/>
  <c r="AH933" i="3"/>
  <c r="AG933" i="3"/>
  <c r="E933" i="3"/>
  <c r="H933" i="3" s="1"/>
  <c r="K933" i="3" l="1"/>
  <c r="AE933" i="3" s="1"/>
  <c r="I933" i="3"/>
  <c r="J933" i="3"/>
  <c r="M933" i="3"/>
  <c r="N933" i="3" s="1"/>
  <c r="F933" i="3"/>
  <c r="V933" i="3" l="1"/>
  <c r="W933" i="3" s="1"/>
  <c r="A934" i="3"/>
  <c r="B934" i="3" s="1"/>
  <c r="L933" i="3"/>
  <c r="U933" i="3" l="1"/>
  <c r="Y932" i="3"/>
  <c r="AC934" i="3"/>
  <c r="Z934" i="3"/>
  <c r="P934" i="3"/>
  <c r="Q934" i="3" s="1"/>
  <c r="R934" i="3" s="1"/>
  <c r="S934" i="3" s="1"/>
  <c r="AA934" i="3"/>
  <c r="T934" i="3" l="1"/>
  <c r="AH934" i="3" s="1"/>
  <c r="AG934" i="3" l="1"/>
  <c r="D934" i="3"/>
  <c r="E934" i="3"/>
  <c r="H934" i="3" s="1"/>
  <c r="K934" i="3" l="1"/>
  <c r="AE934" i="3" s="1"/>
  <c r="F934" i="3"/>
  <c r="G934" i="3"/>
  <c r="V934" i="3" l="1"/>
  <c r="A935" i="3"/>
  <c r="B935" i="3" s="1"/>
  <c r="I934" i="3"/>
  <c r="J934" i="3"/>
  <c r="AD934" i="3" s="1"/>
  <c r="M934" i="3"/>
  <c r="N934" i="3" s="1"/>
  <c r="W934" i="3" l="1"/>
  <c r="L934" i="3"/>
  <c r="AD935" i="3"/>
  <c r="P935" i="3"/>
  <c r="Q935" i="3" s="1"/>
  <c r="R935" i="3" s="1"/>
  <c r="S935" i="3" s="1"/>
  <c r="AA935" i="3"/>
  <c r="AC935" i="3"/>
  <c r="Z935" i="3"/>
  <c r="T935" i="3" l="1"/>
  <c r="U934" i="3"/>
  <c r="Y933" i="3"/>
  <c r="E935" i="3" l="1"/>
  <c r="H935" i="3" s="1"/>
  <c r="K935" i="3" s="1"/>
  <c r="AE935" i="3" s="1"/>
  <c r="AH935" i="3"/>
  <c r="AG935" i="3"/>
  <c r="D935" i="3"/>
  <c r="V935" i="3" l="1"/>
  <c r="A936" i="3"/>
  <c r="B936" i="3" s="1"/>
  <c r="F935" i="3"/>
  <c r="G935" i="3"/>
  <c r="I935" i="3" l="1"/>
  <c r="W935" i="3" s="1"/>
  <c r="J935" i="3"/>
  <c r="M935" i="3"/>
  <c r="N935" i="3" s="1"/>
  <c r="P936" i="3"/>
  <c r="Q936" i="3" s="1"/>
  <c r="R936" i="3" s="1"/>
  <c r="S936" i="3" s="1"/>
  <c r="AD936" i="3"/>
  <c r="AC936" i="3"/>
  <c r="Z936" i="3"/>
  <c r="AA936" i="3"/>
  <c r="T936" i="3" l="1"/>
  <c r="L935" i="3"/>
  <c r="AH936" i="3" l="1"/>
  <c r="U935" i="3"/>
  <c r="E936" i="3" s="1"/>
  <c r="H936" i="3" s="1"/>
  <c r="AG936" i="3"/>
  <c r="Y934" i="3"/>
  <c r="D936" i="3" l="1"/>
  <c r="F936" i="3" s="1"/>
  <c r="K936" i="3"/>
  <c r="AE936" i="3" s="1"/>
  <c r="G936" i="3" l="1"/>
  <c r="J936" i="3" s="1"/>
  <c r="V936" i="3"/>
  <c r="A937" i="3"/>
  <c r="B937" i="3" s="1"/>
  <c r="M936" i="3" l="1"/>
  <c r="N936" i="3" s="1"/>
  <c r="I936" i="3"/>
  <c r="W936" i="3" s="1"/>
  <c r="L936" i="3"/>
  <c r="AD937" i="3"/>
  <c r="P937" i="3"/>
  <c r="Q937" i="3" s="1"/>
  <c r="R937" i="3" s="1"/>
  <c r="S937" i="3" s="1"/>
  <c r="AA937" i="3"/>
  <c r="Z937" i="3"/>
  <c r="AC937" i="3"/>
  <c r="U936" i="3" l="1"/>
  <c r="Y935" i="3"/>
  <c r="T937" i="3"/>
  <c r="AG937" i="3" s="1"/>
  <c r="E937" i="3" l="1"/>
  <c r="H937" i="3" s="1"/>
  <c r="K937" i="3" s="1"/>
  <c r="AE937" i="3" s="1"/>
  <c r="D937" i="3"/>
  <c r="G937" i="3" s="1"/>
  <c r="AH937" i="3"/>
  <c r="F937" i="3" l="1"/>
  <c r="V937" i="3"/>
  <c r="A938" i="3"/>
  <c r="B938" i="3" s="1"/>
  <c r="I937" i="3"/>
  <c r="J937" i="3"/>
  <c r="M937" i="3"/>
  <c r="N937" i="3" s="1"/>
  <c r="W937" i="3" l="1"/>
  <c r="L937" i="3"/>
  <c r="Z938" i="3"/>
  <c r="P938" i="3"/>
  <c r="Q938" i="3" s="1"/>
  <c r="R938" i="3" s="1"/>
  <c r="S938" i="3" s="1"/>
  <c r="AA938" i="3"/>
  <c r="AC938" i="3"/>
  <c r="AD938" i="3"/>
  <c r="T938" i="3" l="1"/>
  <c r="AG938" i="3" s="1"/>
  <c r="U937" i="3"/>
  <c r="Y936" i="3"/>
  <c r="D938" i="3" l="1"/>
  <c r="AH938" i="3"/>
  <c r="E938" i="3"/>
  <c r="H938" i="3" s="1"/>
  <c r="F938" i="3" l="1"/>
  <c r="G938" i="3"/>
  <c r="J938" i="3" s="1"/>
  <c r="K938" i="3"/>
  <c r="AE938" i="3" s="1"/>
  <c r="I938" i="3" l="1"/>
  <c r="M938" i="3"/>
  <c r="N938" i="3" s="1"/>
  <c r="V938" i="3"/>
  <c r="A939" i="3"/>
  <c r="B939" i="3" s="1"/>
  <c r="L938" i="3"/>
  <c r="W938" i="3" l="1"/>
  <c r="U938" i="3"/>
  <c r="Y937" i="3"/>
  <c r="AA939" i="3"/>
  <c r="P939" i="3"/>
  <c r="Q939" i="3" s="1"/>
  <c r="R939" i="3" s="1"/>
  <c r="S939" i="3" s="1"/>
  <c r="Z939" i="3"/>
  <c r="AD939" i="3"/>
  <c r="AC939" i="3"/>
  <c r="T939" i="3" l="1"/>
  <c r="E939" i="3" s="1"/>
  <c r="H939" i="3" s="1"/>
  <c r="K939" i="3" l="1"/>
  <c r="AE939" i="3" s="1"/>
  <c r="AG939" i="3"/>
  <c r="D939" i="3"/>
  <c r="AH939" i="3"/>
  <c r="F939" i="3" l="1"/>
  <c r="G939" i="3"/>
  <c r="V939" i="3"/>
  <c r="A940" i="3"/>
  <c r="B940" i="3" s="1"/>
  <c r="AC940" i="3" l="1"/>
  <c r="Z940" i="3"/>
  <c r="P940" i="3"/>
  <c r="Q940" i="3" s="1"/>
  <c r="R940" i="3" s="1"/>
  <c r="S940" i="3" s="1"/>
  <c r="AA940" i="3"/>
  <c r="AD940" i="3"/>
  <c r="I939" i="3"/>
  <c r="W939" i="3" s="1"/>
  <c r="J939" i="3"/>
  <c r="M939" i="3"/>
  <c r="N939" i="3" s="1"/>
  <c r="T940" i="3" l="1"/>
  <c r="L939" i="3"/>
  <c r="AG940" i="3" l="1"/>
  <c r="AH940" i="3"/>
  <c r="U939" i="3"/>
  <c r="D940" i="3" s="1"/>
  <c r="Y938" i="3"/>
  <c r="E940" i="3" l="1"/>
  <c r="H940" i="3" s="1"/>
  <c r="K940" i="3" s="1"/>
  <c r="AE940" i="3" s="1"/>
  <c r="G940" i="3"/>
  <c r="F940" i="3" l="1"/>
  <c r="I940" i="3"/>
  <c r="J940" i="3"/>
  <c r="M940" i="3"/>
  <c r="N940" i="3" s="1"/>
  <c r="V940" i="3"/>
  <c r="A941" i="3"/>
  <c r="B941" i="3" s="1"/>
  <c r="W940" i="3" l="1"/>
  <c r="L940" i="3"/>
  <c r="AD941" i="3"/>
  <c r="P941" i="3"/>
  <c r="Q941" i="3" s="1"/>
  <c r="R941" i="3" s="1"/>
  <c r="S941" i="3" s="1"/>
  <c r="Z941" i="3"/>
  <c r="AC941" i="3"/>
  <c r="AA941" i="3"/>
  <c r="T941" i="3" l="1"/>
  <c r="U940" i="3"/>
  <c r="Y939" i="3"/>
  <c r="E941" i="3" l="1"/>
  <c r="H941" i="3" s="1"/>
  <c r="K941" i="3" s="1"/>
  <c r="AE941" i="3" s="1"/>
  <c r="AH941" i="3"/>
  <c r="AG941" i="3"/>
  <c r="D941" i="3"/>
  <c r="F941" i="3" l="1"/>
  <c r="G941" i="3"/>
  <c r="V941" i="3"/>
  <c r="A942" i="3"/>
  <c r="B942" i="3" s="1"/>
  <c r="Z942" i="3" l="1"/>
  <c r="AD942" i="3"/>
  <c r="AC942" i="3"/>
  <c r="AA942" i="3"/>
  <c r="P942" i="3"/>
  <c r="Q942" i="3" s="1"/>
  <c r="R942" i="3" s="1"/>
  <c r="S942" i="3" s="1"/>
  <c r="I941" i="3"/>
  <c r="W941" i="3" s="1"/>
  <c r="J941" i="3"/>
  <c r="M941" i="3"/>
  <c r="N941" i="3" s="1"/>
  <c r="T942" i="3" l="1"/>
  <c r="L941" i="3"/>
  <c r="U941" i="3" l="1"/>
  <c r="E942" i="3" s="1"/>
  <c r="H942" i="3" s="1"/>
  <c r="AG942" i="3"/>
  <c r="AH942" i="3"/>
  <c r="Y940" i="3"/>
  <c r="D942" i="3" l="1"/>
  <c r="G942" i="3" s="1"/>
  <c r="K942" i="3"/>
  <c r="AE942" i="3" s="1"/>
  <c r="F942" i="3" l="1"/>
  <c r="I942" i="3"/>
  <c r="J942" i="3"/>
  <c r="M942" i="3"/>
  <c r="N942" i="3" s="1"/>
  <c r="V942" i="3"/>
  <c r="A943" i="3"/>
  <c r="B943" i="3" s="1"/>
  <c r="W942" i="3" l="1"/>
  <c r="L942" i="3"/>
  <c r="AA943" i="3"/>
  <c r="AC943" i="3"/>
  <c r="P943" i="3"/>
  <c r="Q943" i="3" s="1"/>
  <c r="R943" i="3" s="1"/>
  <c r="S943" i="3" s="1"/>
  <c r="Z943" i="3"/>
  <c r="AD943" i="3"/>
  <c r="U942" i="3" l="1"/>
  <c r="Y941" i="3"/>
  <c r="T943" i="3"/>
  <c r="AG943" i="3" s="1"/>
  <c r="E943" i="3" l="1"/>
  <c r="H943" i="3" s="1"/>
  <c r="K943" i="3" s="1"/>
  <c r="AE943" i="3" s="1"/>
  <c r="D943" i="3"/>
  <c r="AH943" i="3"/>
  <c r="F943" i="3" l="1"/>
  <c r="G943" i="3"/>
  <c r="M943" i="3" s="1"/>
  <c r="N943" i="3" s="1"/>
  <c r="V943" i="3"/>
  <c r="A944" i="3"/>
  <c r="B944" i="3" s="1"/>
  <c r="I943" i="3" l="1"/>
  <c r="W943" i="3" s="1"/>
  <c r="J943" i="3"/>
  <c r="L943" i="3" s="1"/>
  <c r="P944" i="3"/>
  <c r="Q944" i="3" s="1"/>
  <c r="R944" i="3" s="1"/>
  <c r="S944" i="3" s="1"/>
  <c r="AC944" i="3"/>
  <c r="Z944" i="3"/>
  <c r="AA944" i="3"/>
  <c r="U943" i="3" l="1"/>
  <c r="Y942" i="3"/>
  <c r="T944" i="3"/>
  <c r="AH944" i="3" s="1"/>
  <c r="D944" i="3" l="1"/>
  <c r="E944" i="3"/>
  <c r="H944" i="3" s="1"/>
  <c r="AG944" i="3"/>
  <c r="F944" i="3" l="1"/>
  <c r="G944" i="3"/>
  <c r="K944" i="3"/>
  <c r="AE944" i="3" s="1"/>
  <c r="I944" i="3" l="1"/>
  <c r="J944" i="3"/>
  <c r="AD944" i="3" s="1"/>
  <c r="M944" i="3"/>
  <c r="N944" i="3" s="1"/>
  <c r="V944" i="3"/>
  <c r="A945" i="3"/>
  <c r="B945" i="3" s="1"/>
  <c r="W944" i="3" l="1"/>
  <c r="L944" i="3"/>
  <c r="P945" i="3"/>
  <c r="Q945" i="3" s="1"/>
  <c r="R945" i="3" s="1"/>
  <c r="S945" i="3" s="1"/>
  <c r="AC945" i="3"/>
  <c r="Z945" i="3"/>
  <c r="AD945" i="3"/>
  <c r="AA945" i="3"/>
  <c r="U944" i="3" l="1"/>
  <c r="Y943" i="3"/>
  <c r="T945" i="3"/>
  <c r="D945" i="3" l="1"/>
  <c r="G945" i="3" s="1"/>
  <c r="AH945" i="3"/>
  <c r="E945" i="3"/>
  <c r="H945" i="3" s="1"/>
  <c r="AG945" i="3"/>
  <c r="F945" i="3" l="1"/>
  <c r="I945" i="3"/>
  <c r="J945" i="3"/>
  <c r="M945" i="3"/>
  <c r="N945" i="3" s="1"/>
  <c r="K945" i="3"/>
  <c r="AE945" i="3" s="1"/>
  <c r="V945" i="3" l="1"/>
  <c r="W945" i="3" s="1"/>
  <c r="A946" i="3"/>
  <c r="B946" i="3" s="1"/>
  <c r="L945" i="3"/>
  <c r="U945" i="3" l="1"/>
  <c r="Y944" i="3"/>
  <c r="P946" i="3"/>
  <c r="Q946" i="3" s="1"/>
  <c r="R946" i="3" s="1"/>
  <c r="S946" i="3" s="1"/>
  <c r="AC946" i="3"/>
  <c r="AA946" i="3"/>
  <c r="AD946" i="3"/>
  <c r="Z946" i="3"/>
  <c r="T946" i="3" l="1"/>
  <c r="E946" i="3" s="1"/>
  <c r="H946" i="3" s="1"/>
  <c r="K946" i="3" l="1"/>
  <c r="AE946" i="3" s="1"/>
  <c r="AG946" i="3"/>
  <c r="D946" i="3"/>
  <c r="AH946" i="3"/>
  <c r="F946" i="3" l="1"/>
  <c r="G946" i="3"/>
  <c r="V946" i="3"/>
  <c r="A947" i="3"/>
  <c r="B947" i="3" s="1"/>
  <c r="Z947" i="3" l="1"/>
  <c r="AC947" i="3"/>
  <c r="P947" i="3"/>
  <c r="Q947" i="3" s="1"/>
  <c r="R947" i="3" s="1"/>
  <c r="S947" i="3" s="1"/>
  <c r="AA947" i="3"/>
  <c r="AD947" i="3"/>
  <c r="I946" i="3"/>
  <c r="W946" i="3" s="1"/>
  <c r="J946" i="3"/>
  <c r="M946" i="3"/>
  <c r="N946" i="3" s="1"/>
  <c r="L946" i="3" l="1"/>
  <c r="T947" i="3"/>
  <c r="AH947" i="3" l="1"/>
  <c r="AG947" i="3"/>
  <c r="U946" i="3"/>
  <c r="E947" i="3" s="1"/>
  <c r="H947" i="3" s="1"/>
  <c r="Y945" i="3"/>
  <c r="D947" i="3" l="1"/>
  <c r="G947" i="3" s="1"/>
  <c r="K947" i="3"/>
  <c r="AE947" i="3" s="1"/>
  <c r="F947" i="3" l="1"/>
  <c r="V947" i="3"/>
  <c r="A948" i="3"/>
  <c r="B948" i="3" s="1"/>
  <c r="I947" i="3"/>
  <c r="J947" i="3"/>
  <c r="M947" i="3"/>
  <c r="N947" i="3" s="1"/>
  <c r="W947" i="3" l="1"/>
  <c r="L947" i="3"/>
  <c r="P948" i="3"/>
  <c r="Q948" i="3" s="1"/>
  <c r="R948" i="3" s="1"/>
  <c r="S948" i="3" s="1"/>
  <c r="AA948" i="3"/>
  <c r="AD948" i="3"/>
  <c r="Z948" i="3"/>
  <c r="AC948" i="3"/>
  <c r="U947" i="3" l="1"/>
  <c r="Y946" i="3"/>
  <c r="T948" i="3"/>
  <c r="AH948" i="3" s="1"/>
  <c r="AG948" i="3" l="1"/>
  <c r="E948" i="3"/>
  <c r="H948" i="3" s="1"/>
  <c r="D948" i="3"/>
  <c r="K948" i="3" l="1"/>
  <c r="AE948" i="3" s="1"/>
  <c r="F948" i="3"/>
  <c r="G948" i="3"/>
  <c r="I948" i="3" l="1"/>
  <c r="J948" i="3"/>
  <c r="M948" i="3"/>
  <c r="N948" i="3" s="1"/>
  <c r="V948" i="3"/>
  <c r="A949" i="3"/>
  <c r="B949" i="3" s="1"/>
  <c r="W948" i="3" l="1"/>
  <c r="L948" i="3"/>
  <c r="AD949" i="3"/>
  <c r="AA949" i="3"/>
  <c r="AC949" i="3"/>
  <c r="Z949" i="3"/>
  <c r="P949" i="3"/>
  <c r="Q949" i="3" s="1"/>
  <c r="R949" i="3" s="1"/>
  <c r="S949" i="3" s="1"/>
  <c r="U948" i="3" l="1"/>
  <c r="Y947" i="3"/>
  <c r="T949" i="3"/>
  <c r="AH949" i="3" s="1"/>
  <c r="AG949" i="3" l="1"/>
  <c r="D949" i="3"/>
  <c r="G949" i="3" s="1"/>
  <c r="E949" i="3"/>
  <c r="H949" i="3" s="1"/>
  <c r="K949" i="3" s="1"/>
  <c r="AE949" i="3" s="1"/>
  <c r="F949" i="3" l="1"/>
  <c r="I949" i="3"/>
  <c r="J949" i="3"/>
  <c r="M949" i="3"/>
  <c r="N949" i="3" s="1"/>
  <c r="V949" i="3"/>
  <c r="A950" i="3"/>
  <c r="B950" i="3" s="1"/>
  <c r="W949" i="3" l="1"/>
  <c r="L949" i="3"/>
  <c r="Z950" i="3"/>
  <c r="AC950" i="3"/>
  <c r="P950" i="3"/>
  <c r="Q950" i="3" s="1"/>
  <c r="R950" i="3" s="1"/>
  <c r="S950" i="3" s="1"/>
  <c r="AD950" i="3"/>
  <c r="AA950" i="3"/>
  <c r="T950" i="3" l="1"/>
  <c r="U949" i="3"/>
  <c r="Y948" i="3"/>
  <c r="D950" i="3" l="1"/>
  <c r="G950" i="3" s="1"/>
  <c r="AG950" i="3"/>
  <c r="E950" i="3"/>
  <c r="H950" i="3" s="1"/>
  <c r="K950" i="3" s="1"/>
  <c r="AE950" i="3" s="1"/>
  <c r="AH950" i="3"/>
  <c r="F950" i="3" l="1"/>
  <c r="I950" i="3"/>
  <c r="J950" i="3"/>
  <c r="M950" i="3"/>
  <c r="N950" i="3" s="1"/>
  <c r="V950" i="3"/>
  <c r="A951" i="3"/>
  <c r="B951" i="3" s="1"/>
  <c r="W950" i="3" l="1"/>
  <c r="P951" i="3"/>
  <c r="Q951" i="3" s="1"/>
  <c r="R951" i="3" s="1"/>
  <c r="S951" i="3" s="1"/>
  <c r="AA951" i="3"/>
  <c r="AC951" i="3"/>
  <c r="AD951" i="3"/>
  <c r="Z951" i="3"/>
  <c r="L950" i="3"/>
  <c r="T951" i="3" l="1"/>
  <c r="U950" i="3"/>
  <c r="Y949" i="3"/>
  <c r="D951" i="3" l="1"/>
  <c r="G951" i="3" s="1"/>
  <c r="AH951" i="3"/>
  <c r="AG951" i="3"/>
  <c r="E951" i="3"/>
  <c r="H951" i="3" s="1"/>
  <c r="K951" i="3" s="1"/>
  <c r="AE951" i="3" s="1"/>
  <c r="F951" i="3" l="1"/>
  <c r="I951" i="3"/>
  <c r="J951" i="3"/>
  <c r="M951" i="3"/>
  <c r="N951" i="3" s="1"/>
  <c r="V951" i="3"/>
  <c r="A952" i="3"/>
  <c r="B952" i="3" s="1"/>
  <c r="AC952" i="3" l="1"/>
  <c r="Z952" i="3"/>
  <c r="AD952" i="3"/>
  <c r="P952" i="3"/>
  <c r="Q952" i="3" s="1"/>
  <c r="R952" i="3" s="1"/>
  <c r="S952" i="3" s="1"/>
  <c r="AA952" i="3"/>
  <c r="W951" i="3"/>
  <c r="L951" i="3"/>
  <c r="U951" i="3" l="1"/>
  <c r="Y950" i="3"/>
  <c r="T952" i="3"/>
  <c r="D952" i="3" l="1"/>
  <c r="G952" i="3" s="1"/>
  <c r="E952" i="3"/>
  <c r="H952" i="3" s="1"/>
  <c r="AH952" i="3"/>
  <c r="AG952" i="3"/>
  <c r="F952" i="3" l="1"/>
  <c r="I952" i="3"/>
  <c r="J952" i="3"/>
  <c r="M952" i="3"/>
  <c r="N952" i="3" s="1"/>
  <c r="K952" i="3"/>
  <c r="AE952" i="3" s="1"/>
  <c r="V952" i="3" l="1"/>
  <c r="W952" i="3" s="1"/>
  <c r="A953" i="3"/>
  <c r="B953" i="3" s="1"/>
  <c r="L952" i="3"/>
  <c r="U952" i="3" l="1"/>
  <c r="Y951" i="3"/>
  <c r="Z953" i="3"/>
  <c r="AA953" i="3"/>
  <c r="AD953" i="3"/>
  <c r="P953" i="3"/>
  <c r="Q953" i="3" s="1"/>
  <c r="R953" i="3" s="1"/>
  <c r="S953" i="3" s="1"/>
  <c r="AC953" i="3"/>
  <c r="T953" i="3" l="1"/>
  <c r="AG953" i="3" s="1"/>
  <c r="E953" i="3" l="1"/>
  <c r="H953" i="3" s="1"/>
  <c r="K953" i="3" s="1"/>
  <c r="AE953" i="3" s="1"/>
  <c r="AH953" i="3"/>
  <c r="D953" i="3"/>
  <c r="G953" i="3" s="1"/>
  <c r="F953" i="3" l="1"/>
  <c r="I953" i="3"/>
  <c r="J953" i="3"/>
  <c r="M953" i="3"/>
  <c r="N953" i="3" s="1"/>
  <c r="V953" i="3"/>
  <c r="A954" i="3"/>
  <c r="B954" i="3" s="1"/>
  <c r="W953" i="3" l="1"/>
  <c r="L953" i="3"/>
  <c r="AA954" i="3"/>
  <c r="P954" i="3"/>
  <c r="Q954" i="3" s="1"/>
  <c r="R954" i="3" s="1"/>
  <c r="S954" i="3" s="1"/>
  <c r="AC954" i="3"/>
  <c r="Z954" i="3"/>
  <c r="T954" i="3" l="1"/>
  <c r="U953" i="3"/>
  <c r="Y952" i="3"/>
  <c r="E954" i="3" l="1"/>
  <c r="H954" i="3" s="1"/>
  <c r="K954" i="3" s="1"/>
  <c r="AE954" i="3" s="1"/>
  <c r="AG954" i="3"/>
  <c r="AH954" i="3"/>
  <c r="D954" i="3"/>
  <c r="G954" i="3" s="1"/>
  <c r="F954" i="3" l="1"/>
  <c r="V954" i="3"/>
  <c r="A955" i="3"/>
  <c r="B955" i="3" s="1"/>
  <c r="I954" i="3"/>
  <c r="J954" i="3"/>
  <c r="AD954" i="3" s="1"/>
  <c r="M954" i="3"/>
  <c r="N954" i="3" s="1"/>
  <c r="W954" i="3" l="1"/>
  <c r="L954" i="3"/>
  <c r="P955" i="3"/>
  <c r="Q955" i="3" s="1"/>
  <c r="R955" i="3" s="1"/>
  <c r="S955" i="3" s="1"/>
  <c r="AA955" i="3"/>
  <c r="AD955" i="3"/>
  <c r="AC955" i="3"/>
  <c r="Z955" i="3"/>
  <c r="U954" i="3" l="1"/>
  <c r="Y953" i="3"/>
  <c r="T955" i="3"/>
  <c r="AG955" i="3" s="1"/>
  <c r="AH955" i="3" l="1"/>
  <c r="D955" i="3"/>
  <c r="E955" i="3"/>
  <c r="H955" i="3" s="1"/>
  <c r="F955" i="3" l="1"/>
  <c r="G955" i="3"/>
  <c r="K955" i="3"/>
  <c r="AE955" i="3" s="1"/>
  <c r="I955" i="3" l="1"/>
  <c r="J955" i="3"/>
  <c r="M955" i="3"/>
  <c r="N955" i="3" s="1"/>
  <c r="V955" i="3"/>
  <c r="A956" i="3"/>
  <c r="B956" i="3" s="1"/>
  <c r="W955" i="3" l="1"/>
  <c r="L955" i="3"/>
  <c r="AA956" i="3"/>
  <c r="P956" i="3"/>
  <c r="Q956" i="3" s="1"/>
  <c r="R956" i="3" s="1"/>
  <c r="S956" i="3" s="1"/>
  <c r="Z956" i="3"/>
  <c r="AD956" i="3"/>
  <c r="AC956" i="3"/>
  <c r="U955" i="3" l="1"/>
  <c r="Y954" i="3"/>
  <c r="T956" i="3"/>
  <c r="AH956" i="3" s="1"/>
  <c r="AG956" i="3" l="1"/>
  <c r="E956" i="3"/>
  <c r="H956" i="3" s="1"/>
  <c r="K956" i="3" s="1"/>
  <c r="AE956" i="3" s="1"/>
  <c r="D956" i="3"/>
  <c r="V956" i="3" l="1"/>
  <c r="A957" i="3"/>
  <c r="B957" i="3" s="1"/>
  <c r="F956" i="3"/>
  <c r="G956" i="3"/>
  <c r="I956" i="3" l="1"/>
  <c r="W956" i="3" s="1"/>
  <c r="J956" i="3"/>
  <c r="M956" i="3"/>
  <c r="N956" i="3" s="1"/>
  <c r="AA957" i="3"/>
  <c r="AD957" i="3"/>
  <c r="Z957" i="3"/>
  <c r="P957" i="3"/>
  <c r="Q957" i="3" s="1"/>
  <c r="R957" i="3" s="1"/>
  <c r="S957" i="3" s="1"/>
  <c r="AC957" i="3"/>
  <c r="T957" i="3" l="1"/>
  <c r="L956" i="3"/>
  <c r="AG957" i="3" l="1"/>
  <c r="U956" i="3"/>
  <c r="E957" i="3" s="1"/>
  <c r="H957" i="3" s="1"/>
  <c r="AH957" i="3"/>
  <c r="Y955" i="3"/>
  <c r="D957" i="3" l="1"/>
  <c r="G957" i="3" s="1"/>
  <c r="K957" i="3"/>
  <c r="AE957" i="3" s="1"/>
  <c r="F957" i="3" l="1"/>
  <c r="I957" i="3"/>
  <c r="J957" i="3"/>
  <c r="M957" i="3"/>
  <c r="N957" i="3" s="1"/>
  <c r="V957" i="3"/>
  <c r="A958" i="3"/>
  <c r="B958" i="3" s="1"/>
  <c r="W957" i="3" l="1"/>
  <c r="L957" i="3"/>
  <c r="AC958" i="3"/>
  <c r="AA958" i="3"/>
  <c r="P958" i="3"/>
  <c r="Q958" i="3" s="1"/>
  <c r="R958" i="3" s="1"/>
  <c r="S958" i="3" s="1"/>
  <c r="Z958" i="3"/>
  <c r="AD958" i="3"/>
  <c r="T958" i="3" l="1"/>
  <c r="AH958" i="3" s="1"/>
  <c r="U957" i="3"/>
  <c r="Y956" i="3"/>
  <c r="AG958" i="3" l="1"/>
  <c r="D958" i="3"/>
  <c r="E958" i="3"/>
  <c r="H958" i="3" s="1"/>
  <c r="K958" i="3" l="1"/>
  <c r="AE958" i="3" s="1"/>
  <c r="F958" i="3"/>
  <c r="G958" i="3"/>
  <c r="V958" i="3" l="1"/>
  <c r="A959" i="3"/>
  <c r="B959" i="3" s="1"/>
  <c r="I958" i="3"/>
  <c r="J958" i="3"/>
  <c r="M958" i="3"/>
  <c r="N958" i="3" s="1"/>
  <c r="W958" i="3" l="1"/>
  <c r="L958" i="3"/>
  <c r="Z959" i="3"/>
  <c r="AC959" i="3"/>
  <c r="P959" i="3"/>
  <c r="Q959" i="3" s="1"/>
  <c r="R959" i="3" s="1"/>
  <c r="S959" i="3" s="1"/>
  <c r="AA959" i="3"/>
  <c r="AD959" i="3"/>
  <c r="T959" i="3" l="1"/>
  <c r="AH959" i="3" s="1"/>
  <c r="U958" i="3"/>
  <c r="Y957" i="3"/>
  <c r="AG959" i="3" l="1"/>
  <c r="E959" i="3"/>
  <c r="H959" i="3" s="1"/>
  <c r="K959" i="3" s="1"/>
  <c r="AE959" i="3" s="1"/>
  <c r="D959" i="3"/>
  <c r="F959" i="3" l="1"/>
  <c r="G959" i="3"/>
  <c r="V959" i="3"/>
  <c r="A960" i="3"/>
  <c r="B960" i="3" s="1"/>
  <c r="AD960" i="3" l="1"/>
  <c r="Z960" i="3"/>
  <c r="AA960" i="3"/>
  <c r="P960" i="3"/>
  <c r="Q960" i="3" s="1"/>
  <c r="R960" i="3" s="1"/>
  <c r="S960" i="3" s="1"/>
  <c r="AC960" i="3"/>
  <c r="I959" i="3"/>
  <c r="W959" i="3" s="1"/>
  <c r="J959" i="3"/>
  <c r="M959" i="3"/>
  <c r="N959" i="3" s="1"/>
  <c r="T960" i="3" l="1"/>
  <c r="L959" i="3"/>
  <c r="U959" i="3" l="1"/>
  <c r="E960" i="3" s="1"/>
  <c r="H960" i="3" s="1"/>
  <c r="AG960" i="3"/>
  <c r="AH960" i="3"/>
  <c r="Y958" i="3"/>
  <c r="D960" i="3" l="1"/>
  <c r="G960" i="3" s="1"/>
  <c r="K960" i="3"/>
  <c r="AE960" i="3" s="1"/>
  <c r="F960" i="3" l="1"/>
  <c r="I960" i="3"/>
  <c r="J960" i="3"/>
  <c r="M960" i="3"/>
  <c r="N960" i="3" s="1"/>
  <c r="V960" i="3"/>
  <c r="A961" i="3"/>
  <c r="B961" i="3" s="1"/>
  <c r="W960" i="3" l="1"/>
  <c r="P961" i="3"/>
  <c r="Q961" i="3" s="1"/>
  <c r="R961" i="3" s="1"/>
  <c r="S961" i="3" s="1"/>
  <c r="AD961" i="3"/>
  <c r="AC961" i="3"/>
  <c r="Z961" i="3"/>
  <c r="AA961" i="3"/>
  <c r="L960" i="3"/>
  <c r="U960" i="3" l="1"/>
  <c r="Y959" i="3"/>
  <c r="T961" i="3"/>
  <c r="D961" i="3" l="1"/>
  <c r="G961" i="3" s="1"/>
  <c r="AH961" i="3"/>
  <c r="AG961" i="3"/>
  <c r="E961" i="3"/>
  <c r="H961" i="3" s="1"/>
  <c r="K961" i="3" l="1"/>
  <c r="AE961" i="3" s="1"/>
  <c r="I961" i="3"/>
  <c r="J961" i="3"/>
  <c r="M961" i="3"/>
  <c r="N961" i="3" s="1"/>
  <c r="F961" i="3"/>
  <c r="L961" i="3" l="1"/>
  <c r="V961" i="3"/>
  <c r="W961" i="3" s="1"/>
  <c r="A962" i="3"/>
  <c r="B962" i="3" s="1"/>
  <c r="Z962" i="3" l="1"/>
  <c r="AA962" i="3"/>
  <c r="P962" i="3"/>
  <c r="Q962" i="3" s="1"/>
  <c r="R962" i="3" s="1"/>
  <c r="S962" i="3" s="1"/>
  <c r="AC962" i="3"/>
  <c r="AD962" i="3"/>
  <c r="U961" i="3"/>
  <c r="Y960" i="3"/>
  <c r="T962" i="3" l="1"/>
  <c r="E962" i="3" s="1"/>
  <c r="H962" i="3" s="1"/>
  <c r="AH962" i="3" l="1"/>
  <c r="K962" i="3"/>
  <c r="AE962" i="3" s="1"/>
  <c r="D962" i="3"/>
  <c r="AG962" i="3"/>
  <c r="V962" i="3" l="1"/>
  <c r="A963" i="3"/>
  <c r="B963" i="3" s="1"/>
  <c r="F962" i="3"/>
  <c r="G962" i="3"/>
  <c r="P963" i="3" l="1"/>
  <c r="Q963" i="3" s="1"/>
  <c r="R963" i="3" s="1"/>
  <c r="S963" i="3" s="1"/>
  <c r="AC963" i="3"/>
  <c r="Z963" i="3"/>
  <c r="AA963" i="3"/>
  <c r="AD963" i="3"/>
  <c r="I962" i="3"/>
  <c r="W962" i="3" s="1"/>
  <c r="J962" i="3"/>
  <c r="M962" i="3"/>
  <c r="N962" i="3" s="1"/>
  <c r="T963" i="3" l="1"/>
  <c r="L962" i="3"/>
  <c r="U962" i="3" l="1"/>
  <c r="E963" i="3" s="1"/>
  <c r="H963" i="3" s="1"/>
  <c r="AG963" i="3"/>
  <c r="AH963" i="3"/>
  <c r="Y961" i="3"/>
  <c r="D963" i="3" l="1"/>
  <c r="G963" i="3" s="1"/>
  <c r="K963" i="3"/>
  <c r="AE963" i="3" s="1"/>
  <c r="F963" i="3" l="1"/>
  <c r="I963" i="3"/>
  <c r="J963" i="3"/>
  <c r="M963" i="3"/>
  <c r="N963" i="3" s="1"/>
  <c r="V963" i="3"/>
  <c r="A964" i="3"/>
  <c r="B964" i="3" s="1"/>
  <c r="W963" i="3" l="1"/>
  <c r="L963" i="3"/>
  <c r="Z964" i="3"/>
  <c r="P964" i="3"/>
  <c r="Q964" i="3" s="1"/>
  <c r="R964" i="3" s="1"/>
  <c r="S964" i="3" s="1"/>
  <c r="AA964" i="3"/>
  <c r="AC964" i="3"/>
  <c r="U963" i="3" l="1"/>
  <c r="Y962" i="3"/>
  <c r="T964" i="3"/>
  <c r="D964" i="3" l="1"/>
  <c r="G964" i="3" s="1"/>
  <c r="E964" i="3"/>
  <c r="H964" i="3" s="1"/>
  <c r="K964" i="3" s="1"/>
  <c r="AE964" i="3" s="1"/>
  <c r="AH964" i="3"/>
  <c r="AG964" i="3"/>
  <c r="F964" i="3" l="1"/>
  <c r="I964" i="3"/>
  <c r="J964" i="3"/>
  <c r="AD964" i="3" s="1"/>
  <c r="M964" i="3"/>
  <c r="N964" i="3" s="1"/>
  <c r="V964" i="3"/>
  <c r="A965" i="3"/>
  <c r="B965" i="3" s="1"/>
  <c r="W964" i="3" l="1"/>
  <c r="L964" i="3"/>
  <c r="AC965" i="3"/>
  <c r="P965" i="3"/>
  <c r="Q965" i="3" s="1"/>
  <c r="R965" i="3" s="1"/>
  <c r="S965" i="3" s="1"/>
  <c r="AA965" i="3"/>
  <c r="Z965" i="3"/>
  <c r="U964" i="3" l="1"/>
  <c r="Y963" i="3"/>
  <c r="T965" i="3"/>
  <c r="AH965" i="3" s="1"/>
  <c r="AG965" i="3" l="1"/>
  <c r="E965" i="3"/>
  <c r="H965" i="3" s="1"/>
  <c r="D965" i="3"/>
  <c r="F965" i="3" l="1"/>
  <c r="G965" i="3"/>
  <c r="K965" i="3"/>
  <c r="AE965" i="3" s="1"/>
  <c r="V965" i="3" l="1"/>
  <c r="A966" i="3"/>
  <c r="B966" i="3" s="1"/>
  <c r="I965" i="3"/>
  <c r="J965" i="3"/>
  <c r="AD965" i="3" s="1"/>
  <c r="M965" i="3"/>
  <c r="N965" i="3" s="1"/>
  <c r="L965" i="3" l="1"/>
  <c r="P966" i="3"/>
  <c r="Q966" i="3" s="1"/>
  <c r="R966" i="3" s="1"/>
  <c r="S966" i="3" s="1"/>
  <c r="AA966" i="3"/>
  <c r="Z966" i="3"/>
  <c r="AC966" i="3"/>
  <c r="W965" i="3"/>
  <c r="T966" i="3" l="1"/>
  <c r="AG966" i="3" s="1"/>
  <c r="U965" i="3"/>
  <c r="Y964" i="3"/>
  <c r="E966" i="3" l="1"/>
  <c r="H966" i="3" s="1"/>
  <c r="D966" i="3"/>
  <c r="AH966" i="3"/>
  <c r="K966" i="3" l="1"/>
  <c r="AE966" i="3" s="1"/>
  <c r="F966" i="3"/>
  <c r="G966" i="3"/>
  <c r="I966" i="3" l="1"/>
  <c r="J966" i="3"/>
  <c r="AD966" i="3" s="1"/>
  <c r="M966" i="3"/>
  <c r="N966" i="3" s="1"/>
  <c r="V966" i="3"/>
  <c r="A967" i="3"/>
  <c r="B967" i="3" s="1"/>
  <c r="W966" i="3" l="1"/>
  <c r="L966" i="3"/>
  <c r="AA967" i="3"/>
  <c r="P967" i="3"/>
  <c r="Q967" i="3" s="1"/>
  <c r="R967" i="3" s="1"/>
  <c r="S967" i="3" s="1"/>
  <c r="AC967" i="3"/>
  <c r="Z967" i="3"/>
  <c r="U966" i="3" l="1"/>
  <c r="Y965" i="3"/>
  <c r="T967" i="3"/>
  <c r="E967" i="3" l="1"/>
  <c r="H967" i="3" s="1"/>
  <c r="K967" i="3" s="1"/>
  <c r="AE967" i="3" s="1"/>
  <c r="AH967" i="3"/>
  <c r="AG967" i="3"/>
  <c r="D967" i="3"/>
  <c r="V967" i="3" l="1"/>
  <c r="A968" i="3"/>
  <c r="B968" i="3" s="1"/>
  <c r="F967" i="3"/>
  <c r="G967" i="3"/>
  <c r="I967" i="3" l="1"/>
  <c r="W967" i="3" s="1"/>
  <c r="J967" i="3"/>
  <c r="AD967" i="3" s="1"/>
  <c r="M967" i="3"/>
  <c r="N967" i="3" s="1"/>
  <c r="Z968" i="3"/>
  <c r="AA968" i="3"/>
  <c r="P968" i="3"/>
  <c r="Q968" i="3" s="1"/>
  <c r="R968" i="3" s="1"/>
  <c r="S968" i="3" s="1"/>
  <c r="AC968" i="3"/>
  <c r="L967" i="3" l="1"/>
  <c r="T968" i="3"/>
  <c r="AH968" i="3" l="1"/>
  <c r="AG968" i="3"/>
  <c r="U967" i="3"/>
  <c r="E968" i="3" s="1"/>
  <c r="H968" i="3" s="1"/>
  <c r="Y966" i="3"/>
  <c r="K968" i="3" l="1"/>
  <c r="AE968" i="3" s="1"/>
  <c r="D968" i="3"/>
  <c r="V968" i="3" l="1"/>
  <c r="A969" i="3"/>
  <c r="B969" i="3" s="1"/>
  <c r="F968" i="3"/>
  <c r="G968" i="3"/>
  <c r="I968" i="3" l="1"/>
  <c r="W968" i="3" s="1"/>
  <c r="J968" i="3"/>
  <c r="AD968" i="3" s="1"/>
  <c r="M968" i="3"/>
  <c r="N968" i="3" s="1"/>
  <c r="AA969" i="3"/>
  <c r="Z969" i="3"/>
  <c r="P969" i="3"/>
  <c r="Q969" i="3" s="1"/>
  <c r="R969" i="3" s="1"/>
  <c r="S969" i="3" s="1"/>
  <c r="AC969" i="3"/>
  <c r="T969" i="3" l="1"/>
  <c r="L968" i="3"/>
  <c r="AH969" i="3" l="1"/>
  <c r="U968" i="3"/>
  <c r="D969" i="3" s="1"/>
  <c r="AG969" i="3"/>
  <c r="Y967" i="3"/>
  <c r="G969" i="3" l="1"/>
  <c r="E969" i="3"/>
  <c r="H969" i="3" s="1"/>
  <c r="F969" i="3" l="1"/>
  <c r="I969" i="3"/>
  <c r="J969" i="3"/>
  <c r="AD969" i="3" s="1"/>
  <c r="M969" i="3"/>
  <c r="N969" i="3" s="1"/>
  <c r="K969" i="3"/>
  <c r="AE969" i="3" s="1"/>
  <c r="V969" i="3" l="1"/>
  <c r="W969" i="3" s="1"/>
  <c r="A970" i="3"/>
  <c r="B970" i="3" s="1"/>
  <c r="L969" i="3"/>
  <c r="U969" i="3" l="1"/>
  <c r="Y968" i="3"/>
  <c r="AA970" i="3"/>
  <c r="P970" i="3"/>
  <c r="Q970" i="3" s="1"/>
  <c r="R970" i="3" s="1"/>
  <c r="S970" i="3" s="1"/>
  <c r="AC970" i="3"/>
  <c r="Z970" i="3"/>
  <c r="T970" i="3" l="1"/>
  <c r="E970" i="3" s="1"/>
  <c r="H970" i="3" s="1"/>
  <c r="AH970" i="3" l="1"/>
  <c r="K970" i="3"/>
  <c r="AE970" i="3" s="1"/>
  <c r="D970" i="3"/>
  <c r="AG970" i="3"/>
  <c r="V970" i="3" l="1"/>
  <c r="A971" i="3"/>
  <c r="B971" i="3" s="1"/>
  <c r="F970" i="3"/>
  <c r="G970" i="3"/>
  <c r="I970" i="3" l="1"/>
  <c r="W970" i="3" s="1"/>
  <c r="J970" i="3"/>
  <c r="AD970" i="3" s="1"/>
  <c r="M970" i="3"/>
  <c r="N970" i="3" s="1"/>
  <c r="P971" i="3"/>
  <c r="Q971" i="3" s="1"/>
  <c r="R971" i="3" s="1"/>
  <c r="S971" i="3" s="1"/>
  <c r="Z971" i="3"/>
  <c r="AC971" i="3"/>
  <c r="AA971" i="3"/>
  <c r="T971" i="3" l="1"/>
  <c r="L970" i="3"/>
  <c r="U970" i="3" l="1"/>
  <c r="E971" i="3" s="1"/>
  <c r="H971" i="3" s="1"/>
  <c r="AH971" i="3"/>
  <c r="AG971" i="3"/>
  <c r="Y969" i="3"/>
  <c r="K971" i="3" l="1"/>
  <c r="AE971" i="3" s="1"/>
  <c r="D971" i="3"/>
  <c r="V971" i="3" l="1"/>
  <c r="A972" i="3"/>
  <c r="B972" i="3" s="1"/>
  <c r="F971" i="3"/>
  <c r="G971" i="3"/>
  <c r="I971" i="3" l="1"/>
  <c r="W971" i="3" s="1"/>
  <c r="J971" i="3"/>
  <c r="AD971" i="3" s="1"/>
  <c r="M971" i="3"/>
  <c r="N971" i="3" s="1"/>
  <c r="AC972" i="3"/>
  <c r="Z972" i="3"/>
  <c r="P972" i="3"/>
  <c r="Q972" i="3" s="1"/>
  <c r="R972" i="3" s="1"/>
  <c r="S972" i="3" s="1"/>
  <c r="AA972" i="3"/>
  <c r="T972" i="3" l="1"/>
  <c r="L971" i="3"/>
  <c r="U971" i="3" l="1"/>
  <c r="D972" i="3" s="1"/>
  <c r="AH972" i="3"/>
  <c r="AG972" i="3"/>
  <c r="Y970" i="3"/>
  <c r="E972" i="3" l="1"/>
  <c r="H972" i="3" s="1"/>
  <c r="K972" i="3" s="1"/>
  <c r="AE972" i="3" s="1"/>
  <c r="G972" i="3"/>
  <c r="F972" i="3" l="1"/>
  <c r="V972" i="3"/>
  <c r="A973" i="3"/>
  <c r="B973" i="3" s="1"/>
  <c r="I972" i="3"/>
  <c r="J972" i="3"/>
  <c r="AD972" i="3" s="1"/>
  <c r="M972" i="3"/>
  <c r="N972" i="3" s="1"/>
  <c r="W972" i="3" l="1"/>
  <c r="L972" i="3"/>
  <c r="AC973" i="3"/>
  <c r="P973" i="3"/>
  <c r="Q973" i="3" s="1"/>
  <c r="R973" i="3" s="1"/>
  <c r="S973" i="3" s="1"/>
  <c r="Z973" i="3"/>
  <c r="AA973" i="3"/>
  <c r="U972" i="3" l="1"/>
  <c r="Y971" i="3"/>
  <c r="T973" i="3"/>
  <c r="AG973" i="3" s="1"/>
  <c r="D973" i="3" l="1"/>
  <c r="G973" i="3" s="1"/>
  <c r="E973" i="3"/>
  <c r="H973" i="3" s="1"/>
  <c r="K973" i="3" s="1"/>
  <c r="AE973" i="3" s="1"/>
  <c r="AH973" i="3"/>
  <c r="F973" i="3" l="1"/>
  <c r="I973" i="3"/>
  <c r="J973" i="3"/>
  <c r="AD973" i="3" s="1"/>
  <c r="M973" i="3"/>
  <c r="N973" i="3" s="1"/>
  <c r="V973" i="3"/>
  <c r="A974" i="3"/>
  <c r="B974" i="3" s="1"/>
  <c r="W973" i="3" l="1"/>
  <c r="L973" i="3"/>
  <c r="P974" i="3"/>
  <c r="Q974" i="3" s="1"/>
  <c r="R974" i="3" s="1"/>
  <c r="S974" i="3" s="1"/>
  <c r="AA974" i="3"/>
  <c r="Z974" i="3"/>
  <c r="AC974" i="3"/>
  <c r="T974" i="3" l="1"/>
  <c r="AG974" i="3" s="1"/>
  <c r="U973" i="3"/>
  <c r="Y972" i="3"/>
  <c r="AH974" i="3" l="1"/>
  <c r="E974" i="3"/>
  <c r="H974" i="3" s="1"/>
  <c r="D974" i="3"/>
  <c r="K974" i="3" l="1"/>
  <c r="AE974" i="3" s="1"/>
  <c r="F974" i="3"/>
  <c r="G974" i="3"/>
  <c r="I974" i="3" l="1"/>
  <c r="J974" i="3"/>
  <c r="AD974" i="3" s="1"/>
  <c r="M974" i="3"/>
  <c r="N974" i="3" s="1"/>
  <c r="V974" i="3"/>
  <c r="A975" i="3"/>
  <c r="B975" i="3" s="1"/>
  <c r="W974" i="3" l="1"/>
  <c r="L974" i="3"/>
  <c r="AD975" i="3"/>
  <c r="P975" i="3"/>
  <c r="Q975" i="3" s="1"/>
  <c r="R975" i="3" s="1"/>
  <c r="S975" i="3" s="1"/>
  <c r="AC975" i="3"/>
  <c r="Z975" i="3"/>
  <c r="AA975" i="3"/>
  <c r="U974" i="3" l="1"/>
  <c r="Y973" i="3"/>
  <c r="T975" i="3"/>
  <c r="D975" i="3" l="1"/>
  <c r="G975" i="3" s="1"/>
  <c r="AH975" i="3"/>
  <c r="E975" i="3"/>
  <c r="H975" i="3" s="1"/>
  <c r="K975" i="3" s="1"/>
  <c r="AE975" i="3" s="1"/>
  <c r="AG975" i="3"/>
  <c r="F975" i="3" l="1"/>
  <c r="V975" i="3"/>
  <c r="A976" i="3"/>
  <c r="B976" i="3" s="1"/>
  <c r="I975" i="3"/>
  <c r="J975" i="3"/>
  <c r="M975" i="3"/>
  <c r="N975" i="3" s="1"/>
  <c r="W975" i="3" l="1"/>
  <c r="L975" i="3"/>
  <c r="AA976" i="3"/>
  <c r="AC976" i="3"/>
  <c r="Z976" i="3"/>
  <c r="AD976" i="3"/>
  <c r="P976" i="3"/>
  <c r="Q976" i="3" s="1"/>
  <c r="R976" i="3" s="1"/>
  <c r="S976" i="3" s="1"/>
  <c r="U975" i="3" l="1"/>
  <c r="Y974" i="3"/>
  <c r="T976" i="3"/>
  <c r="AG976" i="3" s="1"/>
  <c r="AH976" i="3" l="1"/>
  <c r="E976" i="3"/>
  <c r="H976" i="3" s="1"/>
  <c r="D976" i="3"/>
  <c r="K976" i="3" l="1"/>
  <c r="AE976" i="3" s="1"/>
  <c r="F976" i="3"/>
  <c r="G976" i="3"/>
  <c r="I976" i="3" l="1"/>
  <c r="J976" i="3"/>
  <c r="M976" i="3"/>
  <c r="N976" i="3" s="1"/>
  <c r="V976" i="3"/>
  <c r="A977" i="3"/>
  <c r="B977" i="3" s="1"/>
  <c r="W976" i="3" l="1"/>
  <c r="L976" i="3"/>
  <c r="Z977" i="3"/>
  <c r="P977" i="3"/>
  <c r="Q977" i="3" s="1"/>
  <c r="R977" i="3" s="1"/>
  <c r="S977" i="3" s="1"/>
  <c r="AC977" i="3"/>
  <c r="AA977" i="3"/>
  <c r="AD977" i="3"/>
  <c r="T977" i="3" l="1"/>
  <c r="U976" i="3"/>
  <c r="Y975" i="3"/>
  <c r="E977" i="3" l="1"/>
  <c r="H977" i="3" s="1"/>
  <c r="K977" i="3" s="1"/>
  <c r="AE977" i="3" s="1"/>
  <c r="AG977" i="3"/>
  <c r="D977" i="3"/>
  <c r="G977" i="3" s="1"/>
  <c r="AH977" i="3"/>
  <c r="F977" i="3" l="1"/>
  <c r="I977" i="3"/>
  <c r="J977" i="3"/>
  <c r="M977" i="3"/>
  <c r="N977" i="3" s="1"/>
  <c r="V977" i="3"/>
  <c r="A978" i="3"/>
  <c r="B978" i="3" s="1"/>
  <c r="W977" i="3" l="1"/>
  <c r="L977" i="3"/>
  <c r="AC978" i="3"/>
  <c r="AD978" i="3"/>
  <c r="Z978" i="3"/>
  <c r="AA978" i="3"/>
  <c r="P978" i="3"/>
  <c r="Q978" i="3" s="1"/>
  <c r="R978" i="3" s="1"/>
  <c r="S978" i="3" s="1"/>
  <c r="T978" i="3" l="1"/>
  <c r="U977" i="3"/>
  <c r="Y976" i="3"/>
  <c r="D978" i="3" l="1"/>
  <c r="G978" i="3" s="1"/>
  <c r="E978" i="3"/>
  <c r="H978" i="3" s="1"/>
  <c r="K978" i="3" s="1"/>
  <c r="AE978" i="3" s="1"/>
  <c r="AH978" i="3"/>
  <c r="AG978" i="3"/>
  <c r="F978" i="3" l="1"/>
  <c r="I978" i="3"/>
  <c r="J978" i="3"/>
  <c r="M978" i="3"/>
  <c r="N978" i="3" s="1"/>
  <c r="V978" i="3"/>
  <c r="A979" i="3"/>
  <c r="B979" i="3" s="1"/>
  <c r="W978" i="3" l="1"/>
  <c r="L978" i="3"/>
  <c r="AC979" i="3"/>
  <c r="AA979" i="3"/>
  <c r="AD979" i="3"/>
  <c r="Z979" i="3"/>
  <c r="P979" i="3"/>
  <c r="Q979" i="3" s="1"/>
  <c r="R979" i="3" s="1"/>
  <c r="S979" i="3" s="1"/>
  <c r="T979" i="3" l="1"/>
  <c r="U978" i="3"/>
  <c r="Y977" i="3"/>
  <c r="D979" i="3" l="1"/>
  <c r="G979" i="3" s="1"/>
  <c r="AH979" i="3"/>
  <c r="E979" i="3"/>
  <c r="H979" i="3" s="1"/>
  <c r="K979" i="3" s="1"/>
  <c r="AE979" i="3" s="1"/>
  <c r="AG979" i="3"/>
  <c r="F979" i="3" l="1"/>
  <c r="V979" i="3"/>
  <c r="A980" i="3"/>
  <c r="B980" i="3" s="1"/>
  <c r="I979" i="3"/>
  <c r="J979" i="3"/>
  <c r="M979" i="3"/>
  <c r="N979" i="3" s="1"/>
  <c r="W979" i="3" l="1"/>
  <c r="L979" i="3"/>
  <c r="P980" i="3"/>
  <c r="Q980" i="3" s="1"/>
  <c r="R980" i="3" s="1"/>
  <c r="S980" i="3" s="1"/>
  <c r="AA980" i="3"/>
  <c r="AD980" i="3"/>
  <c r="AC980" i="3"/>
  <c r="Z980" i="3"/>
  <c r="U979" i="3" l="1"/>
  <c r="Y978" i="3"/>
  <c r="T980" i="3"/>
  <c r="AH980" i="3" s="1"/>
  <c r="D980" i="3" l="1"/>
  <c r="G980" i="3" s="1"/>
  <c r="E980" i="3"/>
  <c r="H980" i="3" s="1"/>
  <c r="K980" i="3" s="1"/>
  <c r="AE980" i="3" s="1"/>
  <c r="AG980" i="3"/>
  <c r="F980" i="3" l="1"/>
  <c r="I980" i="3"/>
  <c r="J980" i="3"/>
  <c r="M980" i="3"/>
  <c r="N980" i="3" s="1"/>
  <c r="V980" i="3"/>
  <c r="A981" i="3"/>
  <c r="B981" i="3" s="1"/>
  <c r="W980" i="3" l="1"/>
  <c r="L980" i="3"/>
  <c r="AD981" i="3"/>
  <c r="AA981" i="3"/>
  <c r="AC981" i="3"/>
  <c r="Z981" i="3"/>
  <c r="P981" i="3"/>
  <c r="Q981" i="3" s="1"/>
  <c r="R981" i="3" s="1"/>
  <c r="S981" i="3" s="1"/>
  <c r="U980" i="3" l="1"/>
  <c r="Y979" i="3"/>
  <c r="T981" i="3"/>
  <c r="AH981" i="3" s="1"/>
  <c r="D981" i="3" l="1"/>
  <c r="G981" i="3" s="1"/>
  <c r="AG981" i="3"/>
  <c r="E981" i="3"/>
  <c r="H981" i="3" s="1"/>
  <c r="F981" i="3" l="1"/>
  <c r="I981" i="3"/>
  <c r="J981" i="3"/>
  <c r="M981" i="3"/>
  <c r="N981" i="3" s="1"/>
  <c r="K981" i="3"/>
  <c r="AE981" i="3" s="1"/>
  <c r="V981" i="3" l="1"/>
  <c r="W981" i="3" s="1"/>
  <c r="A982" i="3"/>
  <c r="B982" i="3" s="1"/>
  <c r="L981" i="3"/>
  <c r="U981" i="3" l="1"/>
  <c r="Y980" i="3"/>
  <c r="P982" i="3"/>
  <c r="Q982" i="3" s="1"/>
  <c r="R982" i="3" s="1"/>
  <c r="S982" i="3" s="1"/>
  <c r="AD982" i="3"/>
  <c r="AC982" i="3"/>
  <c r="AA982" i="3"/>
  <c r="Z982" i="3"/>
  <c r="T982" i="3" l="1"/>
  <c r="E982" i="3" s="1"/>
  <c r="H982" i="3" s="1"/>
  <c r="AG982" i="3" l="1"/>
  <c r="AH982" i="3"/>
  <c r="D982" i="3"/>
  <c r="G982" i="3" s="1"/>
  <c r="K982" i="3"/>
  <c r="AE982" i="3" s="1"/>
  <c r="F982" i="3" l="1"/>
  <c r="I982" i="3"/>
  <c r="J982" i="3"/>
  <c r="M982" i="3"/>
  <c r="N982" i="3" s="1"/>
  <c r="V982" i="3"/>
  <c r="A983" i="3"/>
  <c r="B983" i="3" s="1"/>
  <c r="W982" i="3" l="1"/>
  <c r="L982" i="3"/>
  <c r="AD983" i="3"/>
  <c r="Z983" i="3"/>
  <c r="P983" i="3"/>
  <c r="Q983" i="3" s="1"/>
  <c r="R983" i="3" s="1"/>
  <c r="S983" i="3" s="1"/>
  <c r="AA983" i="3"/>
  <c r="AC983" i="3"/>
  <c r="U982" i="3" l="1"/>
  <c r="Y981" i="3"/>
  <c r="T983" i="3"/>
  <c r="AG983" i="3" s="1"/>
  <c r="E983" i="3" l="1"/>
  <c r="H983" i="3" s="1"/>
  <c r="K983" i="3" s="1"/>
  <c r="AE983" i="3" s="1"/>
  <c r="D983" i="3"/>
  <c r="AH983" i="3"/>
  <c r="F983" i="3" l="1"/>
  <c r="G983" i="3"/>
  <c r="M983" i="3" s="1"/>
  <c r="N983" i="3" s="1"/>
  <c r="V983" i="3"/>
  <c r="A984" i="3"/>
  <c r="B984" i="3" s="1"/>
  <c r="I983" i="3" l="1"/>
  <c r="W983" i="3" s="1"/>
  <c r="J983" i="3"/>
  <c r="L983" i="3" s="1"/>
  <c r="P984" i="3"/>
  <c r="Q984" i="3" s="1"/>
  <c r="R984" i="3" s="1"/>
  <c r="S984" i="3" s="1"/>
  <c r="AA984" i="3"/>
  <c r="Z984" i="3"/>
  <c r="AC984" i="3"/>
  <c r="U983" i="3" l="1"/>
  <c r="Y982" i="3"/>
  <c r="T984" i="3"/>
  <c r="E984" i="3" l="1"/>
  <c r="H984" i="3" s="1"/>
  <c r="K984" i="3" s="1"/>
  <c r="AE984" i="3" s="1"/>
  <c r="AG984" i="3"/>
  <c r="D984" i="3"/>
  <c r="AH984" i="3"/>
  <c r="F984" i="3" l="1"/>
  <c r="G984" i="3"/>
  <c r="V984" i="3"/>
  <c r="A985" i="3"/>
  <c r="B985" i="3" s="1"/>
  <c r="AA985" i="3" l="1"/>
  <c r="Z985" i="3"/>
  <c r="P985" i="3"/>
  <c r="Q985" i="3" s="1"/>
  <c r="R985" i="3" s="1"/>
  <c r="S985" i="3" s="1"/>
  <c r="AD985" i="3"/>
  <c r="AC985" i="3"/>
  <c r="I984" i="3"/>
  <c r="W984" i="3" s="1"/>
  <c r="J984" i="3"/>
  <c r="AD984" i="3" s="1"/>
  <c r="M984" i="3"/>
  <c r="N984" i="3" s="1"/>
  <c r="T985" i="3" l="1"/>
  <c r="L984" i="3"/>
  <c r="AG985" i="3" l="1"/>
  <c r="AH985" i="3"/>
  <c r="U984" i="3"/>
  <c r="D985" i="3" s="1"/>
  <c r="Y983" i="3"/>
  <c r="G985" i="3" l="1"/>
  <c r="E985" i="3"/>
  <c r="H985" i="3" s="1"/>
  <c r="I985" i="3" l="1"/>
  <c r="J985" i="3"/>
  <c r="M985" i="3"/>
  <c r="N985" i="3" s="1"/>
  <c r="F985" i="3"/>
  <c r="K985" i="3"/>
  <c r="AE985" i="3" s="1"/>
  <c r="L985" i="3" l="1"/>
  <c r="V985" i="3"/>
  <c r="W985" i="3" s="1"/>
  <c r="A986" i="3"/>
  <c r="B986" i="3" s="1"/>
  <c r="U985" i="3" l="1"/>
  <c r="Y984" i="3"/>
  <c r="AC986" i="3"/>
  <c r="P986" i="3"/>
  <c r="Q986" i="3" s="1"/>
  <c r="R986" i="3" s="1"/>
  <c r="S986" i="3" s="1"/>
  <c r="Z986" i="3"/>
  <c r="AD986" i="3"/>
  <c r="AA986" i="3"/>
  <c r="T986" i="3" l="1"/>
  <c r="E986" i="3" s="1"/>
  <c r="H986" i="3" s="1"/>
  <c r="AG986" i="3" l="1"/>
  <c r="K986" i="3"/>
  <c r="AE986" i="3" s="1"/>
  <c r="AH986" i="3"/>
  <c r="D986" i="3"/>
  <c r="F986" i="3" l="1"/>
  <c r="G986" i="3"/>
  <c r="V986" i="3"/>
  <c r="A987" i="3"/>
  <c r="B987" i="3" s="1"/>
  <c r="Z987" i="3" l="1"/>
  <c r="AC987" i="3"/>
  <c r="P987" i="3"/>
  <c r="Q987" i="3" s="1"/>
  <c r="R987" i="3" s="1"/>
  <c r="S987" i="3" s="1"/>
  <c r="AD987" i="3"/>
  <c r="AA987" i="3"/>
  <c r="I986" i="3"/>
  <c r="W986" i="3" s="1"/>
  <c r="J986" i="3"/>
  <c r="M986" i="3"/>
  <c r="N986" i="3" s="1"/>
  <c r="L986" i="3" l="1"/>
  <c r="T987" i="3"/>
  <c r="U986" i="3" l="1"/>
  <c r="E987" i="3" s="1"/>
  <c r="H987" i="3" s="1"/>
  <c r="AH987" i="3"/>
  <c r="AG987" i="3"/>
  <c r="Y985" i="3"/>
  <c r="K987" i="3" l="1"/>
  <c r="AE987" i="3" s="1"/>
  <c r="D987" i="3"/>
  <c r="V987" i="3" l="1"/>
  <c r="A988" i="3"/>
  <c r="B988" i="3" s="1"/>
  <c r="F987" i="3"/>
  <c r="G987" i="3"/>
  <c r="I987" i="3" l="1"/>
  <c r="W987" i="3" s="1"/>
  <c r="J987" i="3"/>
  <c r="M987" i="3"/>
  <c r="N987" i="3" s="1"/>
  <c r="AC988" i="3"/>
  <c r="Z988" i="3"/>
  <c r="AD988" i="3"/>
  <c r="AA988" i="3"/>
  <c r="P988" i="3"/>
  <c r="Q988" i="3" s="1"/>
  <c r="R988" i="3" s="1"/>
  <c r="S988" i="3" s="1"/>
  <c r="L987" i="3" l="1"/>
  <c r="T988" i="3"/>
  <c r="AH988" i="3" l="1"/>
  <c r="U987" i="3"/>
  <c r="E988" i="3" s="1"/>
  <c r="H988" i="3" s="1"/>
  <c r="AG988" i="3"/>
  <c r="Y986" i="3"/>
  <c r="D988" i="3" l="1"/>
  <c r="G988" i="3" s="1"/>
  <c r="K988" i="3"/>
  <c r="AE988" i="3" s="1"/>
  <c r="F988" i="3" l="1"/>
  <c r="I988" i="3"/>
  <c r="J988" i="3"/>
  <c r="M988" i="3"/>
  <c r="N988" i="3" s="1"/>
  <c r="V988" i="3"/>
  <c r="A989" i="3"/>
  <c r="B989" i="3" s="1"/>
  <c r="W988" i="3" l="1"/>
  <c r="L988" i="3"/>
  <c r="AC989" i="3"/>
  <c r="AD989" i="3"/>
  <c r="P989" i="3"/>
  <c r="Q989" i="3" s="1"/>
  <c r="R989" i="3" s="1"/>
  <c r="S989" i="3" s="1"/>
  <c r="Z989" i="3"/>
  <c r="AA989" i="3"/>
  <c r="T989" i="3" l="1"/>
  <c r="U988" i="3"/>
  <c r="Y987" i="3"/>
  <c r="D989" i="3" l="1"/>
  <c r="G989" i="3" s="1"/>
  <c r="AG989" i="3"/>
  <c r="E989" i="3"/>
  <c r="H989" i="3" s="1"/>
  <c r="AH989" i="3"/>
  <c r="F989" i="3" l="1"/>
  <c r="I989" i="3"/>
  <c r="J989" i="3"/>
  <c r="M989" i="3"/>
  <c r="N989" i="3" s="1"/>
  <c r="K989" i="3"/>
  <c r="AE989" i="3" s="1"/>
  <c r="L989" i="3" l="1"/>
  <c r="V989" i="3"/>
  <c r="W989" i="3" s="1"/>
  <c r="A990" i="3"/>
  <c r="B990" i="3" s="1"/>
  <c r="U989" i="3" l="1"/>
  <c r="Y988" i="3"/>
  <c r="AC990" i="3"/>
  <c r="AD990" i="3"/>
  <c r="AA990" i="3"/>
  <c r="Z990" i="3"/>
  <c r="P990" i="3"/>
  <c r="Q990" i="3" s="1"/>
  <c r="R990" i="3" s="1"/>
  <c r="S990" i="3" s="1"/>
  <c r="T990" i="3" l="1"/>
  <c r="E990" i="3" s="1"/>
  <c r="H990" i="3" s="1"/>
  <c r="AH990" i="3" l="1"/>
  <c r="D990" i="3"/>
  <c r="G990" i="3" s="1"/>
  <c r="AG990" i="3"/>
  <c r="K990" i="3"/>
  <c r="AE990" i="3" s="1"/>
  <c r="F990" i="3" l="1"/>
  <c r="V990" i="3"/>
  <c r="A991" i="3"/>
  <c r="B991" i="3" s="1"/>
  <c r="I990" i="3"/>
  <c r="J990" i="3"/>
  <c r="M990" i="3"/>
  <c r="N990" i="3" s="1"/>
  <c r="L990" i="3" l="1"/>
  <c r="W990" i="3"/>
  <c r="AA991" i="3"/>
  <c r="AD991" i="3"/>
  <c r="P991" i="3"/>
  <c r="Q991" i="3" s="1"/>
  <c r="R991" i="3" s="1"/>
  <c r="S991" i="3" s="1"/>
  <c r="Z991" i="3"/>
  <c r="AC991" i="3"/>
  <c r="U990" i="3" l="1"/>
  <c r="Y989" i="3"/>
  <c r="T991" i="3"/>
  <c r="D991" i="3" l="1"/>
  <c r="G991" i="3" s="1"/>
  <c r="E991" i="3"/>
  <c r="H991" i="3" s="1"/>
  <c r="K991" i="3" s="1"/>
  <c r="AE991" i="3" s="1"/>
  <c r="AG991" i="3"/>
  <c r="AH991" i="3"/>
  <c r="F991" i="3" l="1"/>
  <c r="V991" i="3"/>
  <c r="A992" i="3"/>
  <c r="B992" i="3" s="1"/>
  <c r="I991" i="3"/>
  <c r="J991" i="3"/>
  <c r="M991" i="3"/>
  <c r="N991" i="3" s="1"/>
  <c r="W991" i="3" l="1"/>
  <c r="L991" i="3"/>
  <c r="AC992" i="3"/>
  <c r="AD992" i="3"/>
  <c r="Z992" i="3"/>
  <c r="AA992" i="3"/>
  <c r="P992" i="3"/>
  <c r="Q992" i="3" s="1"/>
  <c r="R992" i="3" s="1"/>
  <c r="S992" i="3" s="1"/>
  <c r="U991" i="3" l="1"/>
  <c r="Y990" i="3"/>
  <c r="T992" i="3"/>
  <c r="AG992" i="3" s="1"/>
  <c r="D992" i="3" l="1"/>
  <c r="AH992" i="3"/>
  <c r="E992" i="3"/>
  <c r="H992" i="3" s="1"/>
  <c r="K992" i="3" s="1"/>
  <c r="AE992" i="3" s="1"/>
  <c r="F992" i="3" l="1"/>
  <c r="G992" i="3"/>
  <c r="M992" i="3" s="1"/>
  <c r="N992" i="3" s="1"/>
  <c r="V992" i="3"/>
  <c r="A993" i="3"/>
  <c r="B993" i="3" s="1"/>
  <c r="I992" i="3" l="1"/>
  <c r="W992" i="3" s="1"/>
  <c r="J992" i="3"/>
  <c r="L992" i="3" s="1"/>
  <c r="AD993" i="3"/>
  <c r="Z993" i="3"/>
  <c r="AA993" i="3"/>
  <c r="P993" i="3"/>
  <c r="Q993" i="3" s="1"/>
  <c r="R993" i="3" s="1"/>
  <c r="S993" i="3" s="1"/>
  <c r="AC993" i="3"/>
  <c r="U992" i="3" l="1"/>
  <c r="Y991" i="3"/>
  <c r="T993" i="3"/>
  <c r="AH993" i="3" s="1"/>
  <c r="D993" i="3" l="1"/>
  <c r="G993" i="3" s="1"/>
  <c r="E993" i="3"/>
  <c r="H993" i="3" s="1"/>
  <c r="K993" i="3" s="1"/>
  <c r="AE993" i="3" s="1"/>
  <c r="AG993" i="3"/>
  <c r="F993" i="3" l="1"/>
  <c r="V993" i="3"/>
  <c r="A994" i="3"/>
  <c r="B994" i="3" s="1"/>
  <c r="I993" i="3"/>
  <c r="J993" i="3"/>
  <c r="M993" i="3"/>
  <c r="N993" i="3" s="1"/>
  <c r="L993" i="3" l="1"/>
  <c r="W993" i="3"/>
  <c r="AA994" i="3"/>
  <c r="P994" i="3"/>
  <c r="Q994" i="3" s="1"/>
  <c r="R994" i="3" s="1"/>
  <c r="S994" i="3" s="1"/>
  <c r="Z994" i="3"/>
  <c r="AC994" i="3"/>
  <c r="U993" i="3" l="1"/>
  <c r="Y992" i="3"/>
  <c r="T994" i="3"/>
  <c r="AH994" i="3" s="1"/>
  <c r="E994" i="3" l="1"/>
  <c r="H994" i="3" s="1"/>
  <c r="K994" i="3" s="1"/>
  <c r="AE994" i="3" s="1"/>
  <c r="D994" i="3"/>
  <c r="AG994" i="3"/>
  <c r="F994" i="3" l="1"/>
  <c r="G994" i="3"/>
  <c r="J994" i="3" s="1"/>
  <c r="AD994" i="3" s="1"/>
  <c r="V994" i="3"/>
  <c r="A995" i="3"/>
  <c r="B995" i="3" s="1"/>
  <c r="M994" i="3" l="1"/>
  <c r="N994" i="3" s="1"/>
  <c r="I994" i="3"/>
  <c r="W994" i="3" s="1"/>
  <c r="L994" i="3"/>
  <c r="AA995" i="3"/>
  <c r="P995" i="3"/>
  <c r="Q995" i="3" s="1"/>
  <c r="R995" i="3" s="1"/>
  <c r="S995" i="3" s="1"/>
  <c r="AC995" i="3"/>
  <c r="Z995" i="3"/>
  <c r="T995" i="3" l="1"/>
  <c r="U994" i="3"/>
  <c r="Y993" i="3"/>
  <c r="D995" i="3" l="1"/>
  <c r="G995" i="3" s="1"/>
  <c r="E995" i="3"/>
  <c r="H995" i="3" s="1"/>
  <c r="K995" i="3" s="1"/>
  <c r="AE995" i="3" s="1"/>
  <c r="AH995" i="3"/>
  <c r="AG995" i="3"/>
  <c r="F995" i="3" l="1"/>
  <c r="I995" i="3"/>
  <c r="J995" i="3"/>
  <c r="AD995" i="3" s="1"/>
  <c r="M995" i="3"/>
  <c r="N995" i="3" s="1"/>
  <c r="V995" i="3"/>
  <c r="A996" i="3"/>
  <c r="B996" i="3" s="1"/>
  <c r="W995" i="3" l="1"/>
  <c r="L995" i="3"/>
  <c r="Z996" i="3"/>
  <c r="P996" i="3"/>
  <c r="Q996" i="3" s="1"/>
  <c r="R996" i="3" s="1"/>
  <c r="S996" i="3" s="1"/>
  <c r="AA996" i="3"/>
  <c r="AC996" i="3"/>
  <c r="U995" i="3" l="1"/>
  <c r="Y994" i="3"/>
  <c r="T996" i="3"/>
  <c r="D996" i="3" l="1"/>
  <c r="G996" i="3" s="1"/>
  <c r="AG996" i="3"/>
  <c r="E996" i="3"/>
  <c r="H996" i="3" s="1"/>
  <c r="K996" i="3" s="1"/>
  <c r="AE996" i="3" s="1"/>
  <c r="AH996" i="3"/>
  <c r="F996" i="3" l="1"/>
  <c r="I996" i="3"/>
  <c r="J996" i="3"/>
  <c r="AD996" i="3" s="1"/>
  <c r="M996" i="3"/>
  <c r="N996" i="3" s="1"/>
  <c r="V996" i="3"/>
  <c r="A997" i="3"/>
  <c r="B997" i="3" s="1"/>
  <c r="P997" i="3" l="1"/>
  <c r="Q997" i="3" s="1"/>
  <c r="R997" i="3" s="1"/>
  <c r="S997" i="3" s="1"/>
  <c r="Z997" i="3"/>
  <c r="AA997" i="3"/>
  <c r="AC997" i="3"/>
  <c r="L996" i="3"/>
  <c r="W996" i="3"/>
  <c r="U996" i="3" l="1"/>
  <c r="Y995" i="3"/>
  <c r="T997" i="3"/>
  <c r="AH997" i="3" s="1"/>
  <c r="AG997" i="3" l="1"/>
  <c r="D997" i="3"/>
  <c r="E997" i="3"/>
  <c r="H997" i="3" s="1"/>
  <c r="K997" i="3" s="1"/>
  <c r="AE997" i="3" s="1"/>
  <c r="F997" i="3" l="1"/>
  <c r="G997" i="3"/>
  <c r="I997" i="3" s="1"/>
  <c r="V997" i="3"/>
  <c r="A998" i="3"/>
  <c r="B998" i="3" s="1"/>
  <c r="J997" i="3" l="1"/>
  <c r="M997" i="3"/>
  <c r="N997" i="3" s="1"/>
  <c r="W997" i="3"/>
  <c r="Z998" i="3"/>
  <c r="P998" i="3"/>
  <c r="Q998" i="3" s="1"/>
  <c r="R998" i="3" s="1"/>
  <c r="S998" i="3" s="1"/>
  <c r="AC998" i="3"/>
  <c r="AA998" i="3"/>
  <c r="L997" i="3" l="1"/>
  <c r="U997" i="3" s="1"/>
  <c r="AD997" i="3"/>
  <c r="T998" i="3"/>
  <c r="Y996" i="3" l="1"/>
  <c r="AG998" i="3"/>
  <c r="E998" i="3"/>
  <c r="H998" i="3" s="1"/>
  <c r="K998" i="3" s="1"/>
  <c r="AE998" i="3" s="1"/>
  <c r="AH998" i="3"/>
  <c r="D998" i="3"/>
  <c r="V998" i="3" l="1"/>
  <c r="A999" i="3"/>
  <c r="B999" i="3" s="1"/>
  <c r="F998" i="3"/>
  <c r="G998" i="3"/>
  <c r="I998" i="3" l="1"/>
  <c r="W998" i="3" s="1"/>
  <c r="J998" i="3"/>
  <c r="AD998" i="3" s="1"/>
  <c r="M998" i="3"/>
  <c r="N998" i="3" s="1"/>
  <c r="Z999" i="3"/>
  <c r="AC999" i="3"/>
  <c r="AA999" i="3"/>
  <c r="P999" i="3"/>
  <c r="Q999" i="3" s="1"/>
  <c r="R999" i="3" s="1"/>
  <c r="S999" i="3" s="1"/>
  <c r="T999" i="3" l="1"/>
  <c r="L998" i="3"/>
  <c r="AG999" i="3" l="1"/>
  <c r="U998" i="3"/>
  <c r="D999" i="3" s="1"/>
  <c r="AH999" i="3"/>
  <c r="Y997" i="3"/>
  <c r="E999" i="3" l="1"/>
  <c r="H999" i="3" s="1"/>
  <c r="K999" i="3" s="1"/>
  <c r="AE999" i="3" s="1"/>
  <c r="G999" i="3"/>
  <c r="F999" i="3" l="1"/>
  <c r="I999" i="3"/>
  <c r="J999" i="3"/>
  <c r="AD999" i="3" s="1"/>
  <c r="M999" i="3"/>
  <c r="N999" i="3" s="1"/>
  <c r="V999" i="3"/>
  <c r="A1000" i="3"/>
  <c r="B1000" i="3" s="1"/>
  <c r="W999" i="3" l="1"/>
  <c r="L999" i="3"/>
  <c r="AC1000" i="3"/>
  <c r="P1000" i="3"/>
  <c r="Q1000" i="3" s="1"/>
  <c r="R1000" i="3" s="1"/>
  <c r="S1000" i="3" s="1"/>
  <c r="Z1000" i="3"/>
  <c r="AA1000" i="3"/>
  <c r="U999" i="3" l="1"/>
  <c r="Y998" i="3"/>
  <c r="T1000" i="3"/>
  <c r="AG1000" i="3" s="1"/>
  <c r="D1000" i="3" l="1"/>
  <c r="G1000" i="3" s="1"/>
  <c r="AH1000" i="3"/>
  <c r="E1000" i="3"/>
  <c r="H1000" i="3" s="1"/>
  <c r="K1000" i="3" s="1"/>
  <c r="AE1000" i="3" s="1"/>
  <c r="F1000" i="3" l="1"/>
  <c r="I1000" i="3"/>
  <c r="J1000" i="3"/>
  <c r="AD1000" i="3" s="1"/>
  <c r="M1000" i="3"/>
  <c r="N1000" i="3" s="1"/>
  <c r="V1000" i="3"/>
  <c r="A1001" i="3"/>
  <c r="B1001" i="3" s="1"/>
  <c r="W1000" i="3" l="1"/>
  <c r="L1000" i="3"/>
  <c r="P1001" i="3"/>
  <c r="Q1001" i="3" s="1"/>
  <c r="R1001" i="3" s="1"/>
  <c r="S1001" i="3" s="1"/>
  <c r="Z1001" i="3"/>
  <c r="AC1001" i="3"/>
  <c r="AA1001" i="3"/>
  <c r="U1000" i="3" l="1"/>
  <c r="Y999" i="3"/>
  <c r="T1001" i="3"/>
  <c r="D1001" i="3" l="1"/>
  <c r="G1001" i="3" s="1"/>
  <c r="E1001" i="3"/>
  <c r="H1001" i="3" s="1"/>
  <c r="AG1001" i="3"/>
  <c r="AH1001" i="3"/>
  <c r="F1001" i="3" l="1"/>
  <c r="I1001" i="3"/>
  <c r="J1001" i="3"/>
  <c r="AD1001" i="3" s="1"/>
  <c r="M1001" i="3"/>
  <c r="N1001" i="3" s="1"/>
  <c r="K1001" i="3"/>
  <c r="AE1001" i="3" s="1"/>
  <c r="V1001" i="3" l="1"/>
  <c r="W1001" i="3" s="1"/>
  <c r="A1002" i="3"/>
  <c r="B1002" i="3" s="1"/>
  <c r="L1001" i="3"/>
  <c r="U1001" i="3" l="1"/>
  <c r="Y1000" i="3"/>
  <c r="AA1002" i="3"/>
  <c r="Z1002" i="3"/>
  <c r="AC1002" i="3"/>
  <c r="P1002" i="3"/>
  <c r="Q1002" i="3" s="1"/>
  <c r="R1002" i="3" s="1"/>
  <c r="S1002" i="3" s="1"/>
  <c r="T1002" i="3" l="1"/>
  <c r="AG1002" i="3" s="1"/>
  <c r="AH1002" i="3" l="1"/>
  <c r="D1002" i="3"/>
  <c r="G1002" i="3" s="1"/>
  <c r="E1002" i="3"/>
  <c r="H1002" i="3" s="1"/>
  <c r="K1002" i="3" s="1"/>
  <c r="AE1002" i="3" s="1"/>
  <c r="F1002" i="3" l="1"/>
  <c r="I1002" i="3"/>
  <c r="J1002" i="3"/>
  <c r="AD1002" i="3" s="1"/>
  <c r="M1002" i="3"/>
  <c r="N1002" i="3" s="1"/>
  <c r="V1002" i="3"/>
  <c r="A1003" i="3"/>
  <c r="B1003" i="3" s="1"/>
  <c r="W1002" i="3" l="1"/>
  <c r="L1002" i="3"/>
  <c r="AC1003" i="3"/>
  <c r="P1003" i="3"/>
  <c r="Q1003" i="3" s="1"/>
  <c r="R1003" i="3" s="1"/>
  <c r="S1003" i="3" s="1"/>
  <c r="AA1003" i="3"/>
  <c r="Z1003" i="3"/>
  <c r="T1003" i="3" l="1"/>
  <c r="AH1003" i="3" s="1"/>
  <c r="U1002" i="3"/>
  <c r="Y1001" i="3"/>
  <c r="D1003" i="3" l="1"/>
  <c r="G1003" i="3" s="1"/>
  <c r="E1003" i="3"/>
  <c r="H1003" i="3" s="1"/>
  <c r="K1003" i="3" s="1"/>
  <c r="AE1003" i="3" s="1"/>
  <c r="AG1003" i="3"/>
  <c r="F1003" i="3" l="1"/>
  <c r="I1003" i="3"/>
  <c r="J1003" i="3"/>
  <c r="AD1003" i="3" s="1"/>
  <c r="M1003" i="3"/>
  <c r="N1003" i="3" s="1"/>
  <c r="V1003" i="3"/>
  <c r="W1003" i="3" s="1"/>
  <c r="A1004" i="3"/>
  <c r="B1004" i="3" s="1"/>
  <c r="L1003" i="3" l="1"/>
  <c r="P1004" i="3"/>
  <c r="Q1004" i="3" s="1"/>
  <c r="R1004" i="3" s="1"/>
  <c r="S1004" i="3" s="1"/>
  <c r="T1004" i="3" s="1"/>
  <c r="AA1004" i="3"/>
  <c r="Z1004" i="3"/>
  <c r="AC1004" i="3"/>
  <c r="AG1004" i="3" l="1"/>
  <c r="AH1004" i="3"/>
  <c r="U1003" i="3"/>
  <c r="D1004" i="3" s="1"/>
  <c r="Y1002" i="3"/>
  <c r="J48" i="1"/>
  <c r="L48" i="1"/>
  <c r="I48" i="1"/>
  <c r="J25" i="1"/>
  <c r="K48" i="1"/>
  <c r="M48" i="1"/>
  <c r="K25" i="1"/>
  <c r="I25" i="1"/>
  <c r="K27" i="1"/>
  <c r="I46" i="1"/>
  <c r="L46" i="1"/>
  <c r="M46" i="1"/>
  <c r="K46" i="1"/>
  <c r="J46" i="1"/>
  <c r="I27" i="1"/>
  <c r="J27" i="1"/>
  <c r="E1004" i="3" l="1"/>
  <c r="H1004" i="3" s="1"/>
  <c r="K1004" i="3" s="1"/>
  <c r="AE1004" i="3" s="1"/>
  <c r="C122" i="1"/>
  <c r="C155" i="1"/>
  <c r="C31" i="1"/>
  <c r="C126" i="1"/>
  <c r="C121" i="1"/>
  <c r="C124" i="1"/>
  <c r="C33" i="1"/>
  <c r="J47" i="1" s="1"/>
  <c r="C129" i="1"/>
  <c r="C130" i="1" s="1"/>
  <c r="M25" i="1"/>
  <c r="I72" i="7"/>
  <c r="I73" i="7" s="1"/>
  <c r="I70" i="7"/>
  <c r="G1004" i="3"/>
  <c r="B128" i="1"/>
  <c r="B123" i="1"/>
  <c r="B127" i="1"/>
  <c r="D155" i="1"/>
  <c r="B124" i="1"/>
  <c r="B126" i="1"/>
  <c r="B129" i="1"/>
  <c r="B125" i="1"/>
  <c r="D31" i="1"/>
  <c r="D33" i="1"/>
  <c r="J49" i="1" s="1"/>
  <c r="C146" i="1"/>
  <c r="C147" i="1" s="1"/>
  <c r="C138" i="1"/>
  <c r="C141" i="1"/>
  <c r="C143" i="1"/>
  <c r="C139" i="1"/>
  <c r="B140" i="1"/>
  <c r="B143" i="1"/>
  <c r="B142" i="1"/>
  <c r="B146" i="1"/>
  <c r="B144" i="1"/>
  <c r="B141" i="1"/>
  <c r="B145" i="1"/>
  <c r="M27" i="1"/>
  <c r="H72" i="7"/>
  <c r="H73" i="7" s="1"/>
  <c r="H70" i="7"/>
  <c r="F1004" i="3" l="1"/>
  <c r="L24" i="1" s="1"/>
  <c r="H49" i="1"/>
  <c r="D32" i="1"/>
  <c r="I1004" i="3"/>
  <c r="J1004" i="3"/>
  <c r="M1004" i="3"/>
  <c r="N1004" i="3" s="1"/>
  <c r="E31" i="7"/>
  <c r="H47" i="1"/>
  <c r="C32" i="1"/>
  <c r="V1004" i="3"/>
  <c r="L42" i="1" l="1"/>
  <c r="L1004" i="3"/>
  <c r="Y1004" i="3" s="1"/>
  <c r="AD1004" i="3"/>
  <c r="W1004" i="3"/>
  <c r="B135" i="1"/>
  <c r="B137" i="1"/>
  <c r="B133" i="1"/>
  <c r="B132" i="1" s="1"/>
  <c r="F133" i="1"/>
  <c r="F134" i="1"/>
  <c r="C133" i="1"/>
  <c r="C135" i="1"/>
  <c r="K24" i="1"/>
  <c r="K42" i="1"/>
  <c r="B150" i="1"/>
  <c r="B149" i="1" s="1"/>
  <c r="B154" i="1"/>
  <c r="B152" i="1"/>
  <c r="H117" i="7"/>
  <c r="E62" i="7"/>
  <c r="F62" i="7" s="1"/>
  <c r="E120" i="7"/>
  <c r="F120" i="7" s="1"/>
  <c r="E119" i="7"/>
  <c r="F119" i="7" s="1"/>
  <c r="E133" i="7"/>
  <c r="E63" i="7"/>
  <c r="F63" i="7" s="1"/>
  <c r="H59" i="7"/>
  <c r="L31" i="7"/>
  <c r="E65" i="7"/>
  <c r="F65" i="7" s="1"/>
  <c r="Y1003" i="3" l="1"/>
  <c r="M41" i="1" s="1"/>
  <c r="U1004" i="3"/>
  <c r="J43" i="1"/>
  <c r="I41" i="1"/>
  <c r="K41" i="1"/>
  <c r="H26" i="1"/>
  <c r="J31" i="7" s="1"/>
  <c r="L43" i="1"/>
  <c r="M43" i="1"/>
  <c r="K43" i="1"/>
  <c r="H43" i="1"/>
  <c r="I44" i="1"/>
  <c r="H44" i="1"/>
  <c r="J26" i="1"/>
  <c r="D161" i="1" s="1"/>
  <c r="M44" i="1"/>
  <c r="K26" i="1"/>
  <c r="K31" i="7" s="1"/>
  <c r="K23" i="1"/>
  <c r="L41" i="1"/>
  <c r="L44" i="1"/>
  <c r="I26" i="1"/>
  <c r="B163" i="1" s="1"/>
  <c r="J41" i="1"/>
  <c r="I43" i="1"/>
  <c r="J44" i="1"/>
  <c r="H28" i="1"/>
  <c r="F151" i="1" s="1"/>
  <c r="M31" i="7"/>
  <c r="E121" i="7"/>
  <c r="F121" i="7" s="1"/>
  <c r="H116" i="7"/>
  <c r="H58" i="7"/>
  <c r="E64" i="7"/>
  <c r="F64" i="7" s="1"/>
  <c r="S26" i="6" l="1"/>
  <c r="H55" i="7"/>
  <c r="H112" i="7"/>
  <c r="H53" i="7"/>
  <c r="P31" i="1"/>
  <c r="P32" i="1"/>
  <c r="I67" i="7"/>
  <c r="H41" i="1"/>
  <c r="K44" i="1"/>
  <c r="H45" i="1"/>
  <c r="M45" i="1"/>
  <c r="L45" i="1"/>
  <c r="K45" i="1"/>
  <c r="K28" i="1" s="1"/>
  <c r="M28" i="1" s="1"/>
  <c r="J45" i="1"/>
  <c r="J28" i="1"/>
  <c r="P30" i="1"/>
  <c r="F193" i="1"/>
  <c r="F190" i="1"/>
  <c r="F171" i="1"/>
  <c r="D186" i="1"/>
  <c r="F161" i="1"/>
  <c r="F163" i="1"/>
  <c r="D166" i="1"/>
  <c r="D192" i="1"/>
  <c r="D194" i="1"/>
  <c r="D196" i="1"/>
  <c r="D173" i="1"/>
  <c r="D168" i="1"/>
  <c r="D197" i="1"/>
  <c r="D159" i="1"/>
  <c r="D185" i="1"/>
  <c r="F194" i="1"/>
  <c r="D165" i="1"/>
  <c r="D191" i="1"/>
  <c r="F183" i="1"/>
  <c r="F162" i="1"/>
  <c r="F170" i="1"/>
  <c r="F184" i="1"/>
  <c r="F168" i="1"/>
  <c r="F169" i="1"/>
  <c r="D164" i="1"/>
  <c r="F21" i="1"/>
  <c r="D177" i="1"/>
  <c r="F197" i="1"/>
  <c r="D160" i="1"/>
  <c r="F196" i="1"/>
  <c r="D162" i="1"/>
  <c r="D170" i="1"/>
  <c r="D181" i="1"/>
  <c r="F164" i="1"/>
  <c r="F165" i="1"/>
  <c r="D190" i="1"/>
  <c r="F182" i="1"/>
  <c r="F166" i="1"/>
  <c r="H44" i="7"/>
  <c r="D171" i="1"/>
  <c r="D169" i="1"/>
  <c r="F172" i="1"/>
  <c r="D179" i="1"/>
  <c r="D189" i="1"/>
  <c r="D183" i="1"/>
  <c r="F160" i="1"/>
  <c r="F195" i="1"/>
  <c r="D193" i="1"/>
  <c r="F179" i="1"/>
  <c r="D188" i="1"/>
  <c r="F185" i="1"/>
  <c r="F159" i="1"/>
  <c r="F173" i="1"/>
  <c r="D163" i="1"/>
  <c r="D184" i="1"/>
  <c r="D195" i="1"/>
  <c r="F191" i="1"/>
  <c r="H11" i="7"/>
  <c r="F181" i="1"/>
  <c r="D180" i="1"/>
  <c r="F186" i="1"/>
  <c r="F180" i="1"/>
  <c r="F187" i="1"/>
  <c r="F178" i="1"/>
  <c r="D178" i="1"/>
  <c r="D182" i="1"/>
  <c r="F192" i="1"/>
  <c r="D174" i="1"/>
  <c r="F189" i="1"/>
  <c r="F167" i="1"/>
  <c r="D187" i="1"/>
  <c r="F188" i="1"/>
  <c r="D172" i="1"/>
  <c r="F174" i="1"/>
  <c r="F177" i="1"/>
  <c r="D167" i="1"/>
  <c r="B171" i="1"/>
  <c r="B181" i="1"/>
  <c r="B170" i="1"/>
  <c r="B186" i="1"/>
  <c r="B164" i="1"/>
  <c r="B175" i="1"/>
  <c r="B166" i="1"/>
  <c r="B174" i="1"/>
  <c r="B172" i="1"/>
  <c r="B184" i="1"/>
  <c r="H113" i="7"/>
  <c r="B180" i="1"/>
  <c r="B199" i="1"/>
  <c r="B188" i="1"/>
  <c r="B165" i="1"/>
  <c r="B185" i="1"/>
  <c r="B168" i="1"/>
  <c r="H114" i="7"/>
  <c r="B198" i="1"/>
  <c r="B197" i="1"/>
  <c r="B179" i="1"/>
  <c r="B191" i="1"/>
  <c r="C156" i="1"/>
  <c r="B192" i="1"/>
  <c r="E128" i="7"/>
  <c r="F128" i="7" s="1"/>
  <c r="B194" i="1"/>
  <c r="B173" i="1"/>
  <c r="B182" i="1"/>
  <c r="B190" i="1"/>
  <c r="B193" i="1"/>
  <c r="B176" i="1"/>
  <c r="B183" i="1"/>
  <c r="B195" i="1"/>
  <c r="F132" i="1"/>
  <c r="C134" i="1" s="1"/>
  <c r="B189" i="1"/>
  <c r="B162" i="1"/>
  <c r="B169" i="1"/>
  <c r="B196" i="1"/>
  <c r="H31" i="7"/>
  <c r="B161" i="1"/>
  <c r="B167" i="1"/>
  <c r="H54" i="7"/>
  <c r="B187" i="1"/>
  <c r="B158" i="1"/>
  <c r="H57" i="7"/>
  <c r="F150" i="1"/>
  <c r="B151" i="1" s="1"/>
  <c r="H115" i="7" l="1"/>
  <c r="S25" i="6"/>
  <c r="D31" i="7"/>
  <c r="D156" i="1"/>
  <c r="H19" i="7"/>
  <c r="C118" i="1"/>
  <c r="P29" i="1"/>
  <c r="B120" i="1"/>
  <c r="H56" i="7"/>
  <c r="E129" i="7"/>
  <c r="F129" i="7" s="1"/>
  <c r="B153" i="1"/>
  <c r="C132" i="1"/>
  <c r="C151" i="1"/>
  <c r="C149" i="1"/>
  <c r="B134" i="1"/>
  <c r="B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00000000-0006-0000-0000-000003000000}">
      <text>
        <r>
          <rPr>
            <b/>
            <sz val="8"/>
            <color rgb="FF000000"/>
            <rFont val="Tahoma"/>
            <family val="2"/>
          </rPr>
          <t>Hauteur</t>
        </r>
        <r>
          <rPr>
            <sz val="8"/>
            <color rgb="FF000000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rgb="FF000000"/>
            <rFont val="Tahoma"/>
            <family val="2"/>
          </rPr>
          <t>Height of the tronconical transition (cf. blue schematic).</t>
        </r>
      </text>
    </comment>
    <comment ref="L7" authorId="1" shapeId="0" xr:uid="{00000000-0006-0000-0000-000004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00000000-0006-0000-0000-000005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en dessous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Lower Diameter (cf. blue schematic).</t>
        </r>
      </text>
    </comment>
    <comment ref="L9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00000000-0006-0000-0000-000007000000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00000000-0006-0000-0000-000008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00000000-0006-0000-0000-000009000000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00000000-0006-0000-0000-00000B000000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00000000-0006-0000-0000-00000C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00000000-0006-0000-0000-00000D000000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00000000-0006-0000-0000-00000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0000000-0006-0000-0000-00000F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00000000-0006-0000-0000-000010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00000000-0006-0000-0000-000011000000}">
      <text>
        <r>
          <rPr>
            <sz val="8"/>
            <color rgb="FF000000"/>
            <rFont val="Tahoma"/>
            <family val="2"/>
          </rPr>
          <t xml:space="preserve">Distance entre la pointe de l'ogive et le point </t>
        </r>
        <r>
          <rPr>
            <b/>
            <sz val="8"/>
            <color rgb="FF000000"/>
            <rFont val="Tahoma"/>
            <family val="2"/>
          </rPr>
          <t>inférieur</t>
        </r>
        <r>
          <rPr>
            <sz val="8"/>
            <color rgb="FF000000"/>
            <rFont val="Tahoma"/>
            <family val="2"/>
          </rPr>
          <t xml:space="preserve"> de l'encastrement des ailerons.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rgb="FF000000"/>
            <rFont val="Tahoma"/>
            <family val="2"/>
          </rPr>
          <t>lower</t>
        </r>
        <r>
          <rPr>
            <i/>
            <sz val="8"/>
            <color rgb="FF000000"/>
            <rFont val="Tahoma"/>
            <family val="2"/>
          </rPr>
          <t xml:space="preserve"> point of fins attachment on the rocket.</t>
        </r>
      </text>
    </comment>
    <comment ref="B23" authorId="0" shapeId="0" xr:uid="{00000000-0006-0000-0000-000012000000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00000000-0006-0000-0000-00001300000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00000000-0006-0000-0000-000014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00000000-0006-0000-0000-000015000000}">
      <text>
        <r>
          <rPr>
            <sz val="8"/>
            <color indexed="8"/>
            <rFont val="Tahoma"/>
            <family val="2"/>
          </rPr>
          <t xml:space="preserve">La </t>
        </r>
        <r>
          <rPr>
            <b/>
            <sz val="8"/>
            <color indexed="8"/>
            <rFont val="Tahoma"/>
            <family val="2"/>
          </rPr>
          <t>Finesse</t>
        </r>
        <r>
          <rPr>
            <sz val="8"/>
            <color indexed="8"/>
            <rFont val="Tahoma"/>
            <family val="2"/>
          </rPr>
          <t xml:space="preserve"> représente l'allongement de la fusée, rapport Longueur/Diamètre.
</t>
        </r>
        <r>
          <rPr>
            <i/>
            <sz val="8"/>
            <color indexed="8"/>
            <rFont val="Tahoma"/>
            <family val="2"/>
          </rPr>
          <t>Finesse represents the relative length of the rocket. Finesse = L/D</t>
        </r>
      </text>
    </comment>
    <comment ref="B28" authorId="1" shapeId="0" xr:uid="{00000000-0006-0000-0000-000016000000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00000000-0006-0000-0000-000017000000}">
      <text>
        <r>
          <rPr>
            <sz val="8"/>
            <color indexed="8"/>
            <rFont val="Tahoma"/>
            <family val="2"/>
          </rPr>
          <t xml:space="preserve">Le gradient de </t>
        </r>
        <r>
          <rPr>
            <b/>
            <sz val="8"/>
            <color indexed="16"/>
            <rFont val="Tahoma"/>
            <family val="2"/>
          </rPr>
          <t>Portance</t>
        </r>
        <r>
          <rPr>
            <sz val="8"/>
            <color indexed="8"/>
            <rFont val="Tahoma"/>
            <family val="2"/>
          </rPr>
          <t xml:space="preserve"> Cnα indique l'efficacité des ailerons.
Pour l'augmenter, il faut augmenter la taille des ailerons, et inversement.
</t>
        </r>
        <r>
          <rPr>
            <i/>
            <sz val="8"/>
            <color indexed="16"/>
            <rFont val="Tahoma"/>
            <family val="2"/>
          </rPr>
          <t>Lift</t>
        </r>
        <r>
          <rPr>
            <i/>
            <sz val="8"/>
            <color indexed="8"/>
            <rFont val="Tahoma"/>
            <family val="2"/>
          </rPr>
          <t xml:space="preserve"> gradient, Cnα, represents the fins efficiency. 
To increase it, one must increase the size of the fins, and conversely.</t>
        </r>
      </text>
    </comment>
    <comment ref="B29" authorId="1" shapeId="0" xr:uid="{00000000-0006-0000-0000-000018000000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00000000-0006-0000-0000-000019000000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00000000-0006-0000-0000-00001A000000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00000000-0006-0000-0000-00001B000000}">
      <text>
        <r>
          <rPr>
            <sz val="8"/>
            <color indexed="8"/>
            <rFont val="Tahoma"/>
            <family val="2"/>
          </rPr>
          <t xml:space="preserve">Le </t>
        </r>
        <r>
          <rPr>
            <b/>
            <sz val="8"/>
            <color indexed="8"/>
            <rFont val="Tahoma"/>
            <family val="2"/>
          </rPr>
          <t>produit</t>
        </r>
        <r>
          <rPr>
            <sz val="8"/>
            <color indexed="8"/>
            <rFont val="Tahoma"/>
            <family val="2"/>
          </rPr>
          <t xml:space="preserve"> MS*Cnα représente le </t>
        </r>
        <r>
          <rPr>
            <b/>
            <sz val="8"/>
            <color indexed="8"/>
            <rFont val="Tahoma"/>
            <family val="2"/>
          </rPr>
          <t>couple</t>
        </r>
        <r>
          <rPr>
            <sz val="8"/>
            <color indexed="8"/>
            <rFont val="Tahoma"/>
            <family val="2"/>
          </rPr>
          <t xml:space="preserve"> de rappel de la Portance.
Pour augmenter le produit, il faut augmenter la MS et/ou le Cnα, et inversement.
</t>
        </r>
        <r>
          <rPr>
            <i/>
            <sz val="8"/>
            <color indexed="8"/>
            <rFont val="Tahoma"/>
            <family val="2"/>
          </rPr>
          <t>The product MS*Cnα represents the lift torque.
To increase it, one must increase the Static Margin and/or the Cnα, and conversely.</t>
        </r>
      </text>
    </comment>
    <comment ref="F31" authorId="0" shapeId="0" xr:uid="{00000000-0006-0000-0000-00001C000000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00000000-0006-0000-0000-00001D000000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00000000-0006-0000-0000-00001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00000000-0006-0000-0000-00001F000000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00000000-0006-0000-0100-000001000000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00000000-0006-0000-0100-000002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00000000-0006-0000-0100-000003000000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00000000-0006-0000-0100-000004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00000000-0006-0000-0100-000005000000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00000000-0006-0000-0100-000006000000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00000000-0006-0000-0100-000007000000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00000000-0006-0000-0100-000008000000}">
      <text>
        <r>
          <rPr>
            <b/>
            <sz val="8"/>
            <color rgb="FF000000"/>
            <rFont val="Tahoma"/>
            <family val="2"/>
          </rPr>
          <t>Objet largué</t>
        </r>
        <r>
          <rPr>
            <sz val="8"/>
            <color rgb="FF000000"/>
            <rFont val="Tahoma"/>
            <family val="2"/>
          </rPr>
          <t xml:space="preserve"> (CanSat, quasi-satellite, partie contenant l'œuf...)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Separated object (CanSat, quasi-satellite, payload/egg...)</t>
        </r>
      </text>
    </comment>
    <comment ref="K23" authorId="1" shapeId="0" xr:uid="{00000000-0006-0000-0100-000009000000}">
      <text>
        <r>
          <rPr>
            <sz val="8"/>
            <color indexed="8"/>
            <rFont val="Tahoma"/>
            <family val="2"/>
          </rPr>
          <t xml:space="preserve">La Vitesse en Sortie de Rampe doit être supérieure à 18m/s (MiniFusée) ou 20m/s (Fusée Exp.).
Alléger la fusée ou choisir un propu plus puissant.
</t>
        </r>
        <r>
          <rPr>
            <i/>
            <sz val="8"/>
            <color indexed="8"/>
            <rFont val="Tahoma"/>
            <family val="2"/>
          </rPr>
          <t>Speed at Launch Pad Exit must by higher than 18m/s (mini-rocket) or 20m/s (experimental rocket).
Lighten the rocket or choose a bigger motor.</t>
        </r>
      </text>
    </comment>
    <comment ref="C24" authorId="2" shapeId="0" xr:uid="{00000000-0006-0000-0100-00000A000000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00000000-0006-0000-0100-00000C000000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00000000-0006-0000-0100-00000D000000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00000000-0006-0000-0100-00000E000000}">
      <text>
        <r>
          <rPr>
            <sz val="8"/>
            <color indexed="81"/>
            <rFont val="Tahoma"/>
            <family val="2"/>
          </rPr>
          <t xml:space="preserve">La Vitesse de descente sous parachute doit être comprise entre 5 &amp; 15m/s.
</t>
        </r>
        <r>
          <rPr>
            <i/>
            <sz val="8"/>
            <color indexed="81"/>
            <rFont val="Tahoma"/>
            <family val="2"/>
          </rPr>
          <t>Fall Velocity with parachute must be between 5 &amp; 15 m/s.</t>
        </r>
      </text>
    </comment>
    <comment ref="B33" authorId="0" shapeId="0" xr:uid="{00000000-0006-0000-0100-00000F000000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00000000-0006-0000-0100-000010000000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0000000-0006-0000-0100-000011000000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00000000-0006-0000-0100-000012000000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00000000-0006-0000-0500-000001000000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00000000-0006-0000-0500-000002000000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00000000-0006-0000-0500-000003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00000000-0006-0000-0500-000004000000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00000000-0006-0000-0500-000005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<sst xmlns="http://schemas.openxmlformats.org/spreadsheetml/2006/main" count="1716" uniqueCount="560">
  <si>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</si>
  <si>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</si>
  <si>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</si>
  <si>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</si>
  <si>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</si>
  <si>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</si>
  <si>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</si>
  <si>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</si>
  <si>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</si>
  <si>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</si>
  <si>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</si>
  <si>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</si>
  <si>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</si>
  <si>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</si>
  <si>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</si>
  <si>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</si>
  <si>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</si>
  <si>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</si>
  <si>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</si>
  <si>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</si>
  <si>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</si>
  <si>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</si>
  <si>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</si>
  <si>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</si>
  <si>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</si>
  <si>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</si>
  <si>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</si>
  <si>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</si>
  <si>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</si>
  <si>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</si>
  <si>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</si>
  <si>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</si>
  <si>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</si>
  <si>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</si>
  <si>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</si>
  <si>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</si>
  <si>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</si>
  <si>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</si>
  <si>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</si>
  <si>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</si>
  <si>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</si>
  <si>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</si>
  <si>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</si>
  <si>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</si>
  <si>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</si>
  <si>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</si>
  <si>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</si>
  <si>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</si>
  <si>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</si>
  <si>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</si>
  <si>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</si>
  <si>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</si>
  <si>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</si>
  <si>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</si>
  <si>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</si>
  <si>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</si>
  <si>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</si>
  <si>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</si>
  <si>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</si>
  <si>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</si>
  <si>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</si>
  <si>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</si>
  <si>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</si>
  <si>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</si>
  <si>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</si>
  <si>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</si>
  <si>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</si>
  <si>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</si>
  <si>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</si>
  <si>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</si>
  <si>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</si>
  <si>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</si>
  <si>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</si>
  <si>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</si>
  <si>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</si>
  <si>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</si>
  <si>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</si>
  <si>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</si>
  <si>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</si>
  <si>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</si>
  <si>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</si>
  <si>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</si>
  <si>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</si>
  <si>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</si>
  <si>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</si>
  <si>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</si>
  <si>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</si>
  <si>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</si>
  <si>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</si>
  <si>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</si>
  <si>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</si>
  <si>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</si>
  <si>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</si>
  <si>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</si>
  <si>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</si>
  <si>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</si>
  <si>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</si>
  <si>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</si>
  <si>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</si>
  <si>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</si>
  <si>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</si>
  <si>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</si>
  <si>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</si>
  <si>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</si>
  <si>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</si>
  <si>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</si>
  <si>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</si>
  <si>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</si>
  <si>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</si>
  <si>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</si>
  <si>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</si>
  <si>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</si>
  <si>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</si>
  <si>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</si>
  <si>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</si>
  <si>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</si>
  <si>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</si>
  <si>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</si>
  <si>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</si>
  <si>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</si>
  <si>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</si>
  <si>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</si>
  <si>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</si>
  <si>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</si>
  <si>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</si>
  <si>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</si>
  <si>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</si>
  <si>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</si>
  <si>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</si>
  <si>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</si>
  <si>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</si>
  <si>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</si>
  <si>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</si>
  <si>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</si>
  <si>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</si>
  <si>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</si>
  <si>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</si>
  <si>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</si>
  <si>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</si>
  <si>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</si>
  <si>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</si>
  <si>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</si>
  <si>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</si>
  <si>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</si>
  <si>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</si>
  <si>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</si>
  <si>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</si>
  <si>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</si>
  <si>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</si>
  <si>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</si>
  <si>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</si>
  <si>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</si>
  <si>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</si>
  <si>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</si>
  <si>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</si>
  <si>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</si>
  <si>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</si>
  <si>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</si>
  <si>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</si>
  <si>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</si>
  <si>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</si>
  <si>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</si>
  <si>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</si>
  <si>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</si>
  <si>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</si>
  <si>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</si>
  <si>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</si>
  <si>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</si>
  <si>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</si>
  <si>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</si>
  <si>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</si>
  <si>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</si>
  <si>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</si>
  <si>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</si>
  <si>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</si>
  <si>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</si>
  <si>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</si>
  <si>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</si>
  <si>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</si>
  <si>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</si>
  <si>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</si>
  <si>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</si>
  <si>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</si>
  <si>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</si>
  <si>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</si>
  <si>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</si>
  <si>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</si>
  <si>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</si>
  <si>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</si>
  <si>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</si>
  <si>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</si>
  <si>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</si>
  <si>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</si>
  <si>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</si>
  <si>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</si>
  <si>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</si>
  <si>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</si>
  <si>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</si>
  <si>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</si>
  <si>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</si>
  <si>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</si>
  <si>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</si>
  <si>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</si>
  <si>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</si>
  <si>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</si>
  <si>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</si>
  <si>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</si>
  <si>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</si>
  <si>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</si>
  <si>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</si>
  <si>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</si>
  <si>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</si>
  <si>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</si>
  <si>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</si>
  <si>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</si>
  <si>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</si>
  <si>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</si>
  <si>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</si>
  <si>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</si>
  <si>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</si>
  <si>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</si>
  <si>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</si>
  <si>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</si>
  <si>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</si>
  <si>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</si>
  <si>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</si>
  <si>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</si>
  <si>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</si>
  <si>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</si>
  <si>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</si>
  <si>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</si>
  <si>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</si>
  <si>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</si>
  <si>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</si>
  <si>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</si>
  <si>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</si>
  <si>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</si>
  <si>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</si>
  <si>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</si>
  <si>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</si>
  <si>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</si>
  <si>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</si>
  <si>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</si>
  <si>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</si>
  <si>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</si>
  <si>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</si>
  <si>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</si>
  <si>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</si>
  <si>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</si>
  <si>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</si>
  <si>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</si>
  <si>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</si>
  <si>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</si>
  <si>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</si>
  <si>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</si>
  <si>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</si>
  <si>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</si>
  <si>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</si>
  <si>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</si>
  <si>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</si>
  <si>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</si>
  <si>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</si>
  <si>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</si>
  <si>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</si>
  <si>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</si>
  <si>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</si>
  <si>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</si>
  <si>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</si>
  <si>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</si>
  <si>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</si>
  <si>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</si>
  <si>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</si>
  <si>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</si>
  <si>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</si>
  <si>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</si>
  <si>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</si>
  <si>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</si>
  <si>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</si>
  <si>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</si>
  <si>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</si>
  <si>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</si>
  <si>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</si>
  <si>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</si>
  <si>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</si>
  <si>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</si>
  <si>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</si>
  <si>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</si>
  <si>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</si>
  <si>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</si>
  <si>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</si>
  <si>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</si>
  <si>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</si>
  <si>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</si>
  <si>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</si>
  <si>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</si>
  <si>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</si>
  <si>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</si>
  <si>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</si>
  <si>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</si>
  <si>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</si>
  <si>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</si>
  <si>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</si>
  <si>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</si>
  <si>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</si>
  <si>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</si>
  <si>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</si>
  <si>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</si>
  <si>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</si>
  <si>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</si>
  <si>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</si>
  <si>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</si>
  <si>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</si>
  <si>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</si>
  <si>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</si>
  <si>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</si>
  <si>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</si>
  <si>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</si>
  <si>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</si>
  <si>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</si>
  <si>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</si>
  <si>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</si>
  <si>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</si>
  <si>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</si>
  <si>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</si>
  <si>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</si>
  <si>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</si>
  <si>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</si>
  <si>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</si>
  <si>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</si>
  <si>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</si>
  <si>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</si>
  <si>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</si>
  <si>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</si>
  <si>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</si>
  <si>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</si>
  <si>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</si>
  <si>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</si>
  <si>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</si>
  <si>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</si>
  <si>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</si>
  <si>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</si>
  <si>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</si>
  <si>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</si>
  <si>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</si>
  <si>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</si>
  <si>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</si>
  <si>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</si>
  <si>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</si>
  <si>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</si>
  <si>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</si>
  <si>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</si>
  <si>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</si>
  <si>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</si>
  <si>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</si>
  <si>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</si>
  <si>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</si>
  <si>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</si>
  <si>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</si>
  <si>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</si>
  <si>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</si>
  <si>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</si>
  <si>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</si>
  <si>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</si>
  <si>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</si>
  <si>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</si>
  <si>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</si>
  <si>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</si>
  <si>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</si>
  <si>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</si>
  <si>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</si>
  <si>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</si>
  <si>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</si>
  <si>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</si>
  <si>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</si>
  <si>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</si>
  <si>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</si>
  <si>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</si>
  <si>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</si>
  <si>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</si>
  <si>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</si>
  <si>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</si>
  <si>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</si>
  <si>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</si>
  <si>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</si>
  <si>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</si>
  <si>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</si>
  <si>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</si>
  <si>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</si>
  <si>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</si>
  <si>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</si>
  <si>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</si>
  <si>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</si>
  <si>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</si>
  <si>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</si>
  <si>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</si>
  <si>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</si>
  <si>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</si>
  <si>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</si>
  <si>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</si>
  <si>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</si>
  <si>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</si>
  <si>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</si>
  <si>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</si>
  <si>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</si>
  <si>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</si>
  <si>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</si>
  <si>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</si>
  <si>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</si>
  <si>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</si>
  <si>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</si>
  <si>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</si>
  <si>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</si>
  <si>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</si>
  <si>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</si>
  <si>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</si>
  <si>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</si>
  <si>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</si>
  <si>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</si>
  <si>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</si>
  <si>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</si>
  <si>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</si>
  <si>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</si>
  <si>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</si>
  <si>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</si>
  <si>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</si>
  <si>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</si>
  <si>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</si>
  <si>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</si>
  <si>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</si>
  <si>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</si>
  <si>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</si>
  <si>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</si>
  <si>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</si>
  <si>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</si>
  <si>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</si>
  <si>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</si>
  <si>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</si>
  <si>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</si>
  <si>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</si>
  <si>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</si>
  <si>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</si>
  <si>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</si>
  <si>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</si>
  <si>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</si>
  <si>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</si>
  <si>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</si>
  <si>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</si>
  <si>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</si>
  <si>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</si>
  <si>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</si>
  <si>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</si>
  <si>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</si>
  <si>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</si>
  <si>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</si>
  <si>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</si>
  <si>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</si>
  <si>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</si>
  <si>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</si>
  <si>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</si>
  <si>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</si>
  <si>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</si>
  <si>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</si>
  <si>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</si>
  <si>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</si>
  <si>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</si>
  <si>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</si>
  <si>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</si>
  <si>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</si>
  <si>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</si>
  <si>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</si>
  <si>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</si>
  <si>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</si>
  <si>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</si>
  <si>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</si>
  <si>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</si>
  <si>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</si>
  <si>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</si>
  <si>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</si>
  <si>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</si>
  <si>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</si>
  <si>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</si>
  <si>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</si>
  <si>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</si>
  <si>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</si>
  <si>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</si>
  <si>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</si>
  <si>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</si>
  <si>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</si>
  <si>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</si>
  <si>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</si>
  <si>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</si>
  <si>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</si>
  <si>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</si>
  <si>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</si>
  <si>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</si>
  <si>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</si>
  <si>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</si>
  <si>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</si>
  <si>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</si>
  <si>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</si>
  <si>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</si>
  <si>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</si>
  <si>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</si>
  <si>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</si>
  <si>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</si>
  <si>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</si>
  <si>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</si>
  <si>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</si>
  <si>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</si>
  <si>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</si>
  <si>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</si>
  <si>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</si>
  <si>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</si>
  <si>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</si>
  <si>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</si>
  <si>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</si>
  <si>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</si>
  <si>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</si>
  <si>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</si>
  <si>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</si>
  <si>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</si>
  <si>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</si>
  <si>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</si>
  <si>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</si>
  <si>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</si>
  <si>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</si>
  <si>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</si>
  <si>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</si>
  <si>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</si>
  <si>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</si>
  <si>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</si>
  <si>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</si>
  <si>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</si>
  <si>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</si>
  <si>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</si>
  <si>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</si>
  <si>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</si>
  <si>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</si>
  <si>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</si>
  <si>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</si>
  <si>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</si>
  <si>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</si>
  <si>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StabTraj V3.4.1</t>
  </si>
  <si>
    <t>Propu : +Klima D9</t>
  </si>
  <si>
    <t>v3.4.2</t>
  </si>
  <si>
    <t>p29-1G 56F31</t>
  </si>
  <si>
    <t xml:space="preserve"> 143G150 BS</t>
  </si>
  <si>
    <t>StabTraj V3.4.2</t>
  </si>
  <si>
    <t>Ajout propu</t>
  </si>
  <si>
    <t>Pandora (Pro24-6G BS)</t>
  </si>
  <si>
    <t>Barasinga (Pro54-5G C)</t>
  </si>
  <si>
    <t>Orignal (Pro75-3G C)</t>
  </si>
  <si>
    <t>Blastocerus (Pro98-6GXL RL)</t>
  </si>
  <si>
    <t>Minifusée</t>
  </si>
  <si>
    <t>rose</t>
  </si>
  <si>
    <t>gris/rouge</t>
  </si>
  <si>
    <t>Conique (droite)</t>
  </si>
  <si>
    <t>Fusée mono-diamètre,</t>
  </si>
  <si>
    <t>SP02-Beta</t>
  </si>
  <si>
    <t>l'Aeroipsa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</si>
</sst>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i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4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9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6" fillId="5" borderId="2" xfId="2" applyNumberFormat="1" applyFont="1" applyFill="1" applyBorder="1" applyAlignment="1">
      <alignment horizontal="center"/>
    </xf>
    <xf numFmtId="181" fontId="26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6" fillId="5" borderId="2" xfId="2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6" fillId="6" borderId="2" xfId="2" applyFont="1" applyFill="1" applyBorder="1" applyAlignment="1">
      <alignment horizontal="center"/>
    </xf>
    <xf numFmtId="0" fontId="31" fillId="0" borderId="0" xfId="2" applyFont="1"/>
    <xf numFmtId="0" fontId="31" fillId="6" borderId="2" xfId="2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 applyProtection="1">
      <alignment horizontal="center"/>
      <protection hidden="1"/>
    </xf>
    <xf numFmtId="0" fontId="31" fillId="5" borderId="2" xfId="2" applyFont="1" applyFill="1" applyBorder="1" applyAlignment="1">
      <alignment horizontal="center"/>
    </xf>
    <xf numFmtId="177" fontId="31" fillId="5" borderId="2" xfId="2" applyNumberFormat="1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>
      <alignment horizontal="center"/>
    </xf>
    <xf numFmtId="178" fontId="31" fillId="5" borderId="2" xfId="2" applyNumberFormat="1" applyFont="1" applyFill="1" applyBorder="1" applyAlignment="1" applyProtection="1">
      <alignment horizontal="center"/>
      <protection hidden="1"/>
    </xf>
    <xf numFmtId="0" fontId="31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8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2" fillId="6" borderId="2" xfId="2" applyFont="1" applyFill="1" applyBorder="1" applyAlignment="1" applyProtection="1">
      <alignment horizontal="center"/>
      <protection hidden="1"/>
    </xf>
    <xf numFmtId="178" fontId="32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4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8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8" fillId="0" borderId="13" xfId="0" applyFont="1" applyBorder="1" applyAlignment="1">
      <alignment horizontal="right" vertical="center"/>
    </xf>
    <xf numFmtId="0" fontId="28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4" fillId="0" borderId="0" xfId="2" applyFont="1"/>
    <xf numFmtId="0" fontId="44" fillId="27" borderId="2" xfId="2" applyFont="1" applyFill="1" applyBorder="1" applyAlignment="1" applyProtection="1">
      <alignment horizontal="center"/>
      <protection hidden="1"/>
    </xf>
    <xf numFmtId="177" fontId="45" fillId="5" borderId="2" xfId="2" applyNumberFormat="1" applyFont="1" applyFill="1" applyBorder="1" applyAlignment="1" applyProtection="1">
      <alignment horizontal="center"/>
      <protection hidden="1"/>
    </xf>
    <xf numFmtId="0" fontId="43" fillId="0" borderId="0" xfId="2" applyFont="1"/>
    <xf numFmtId="0" fontId="46" fillId="0" borderId="10" xfId="2" applyFont="1" applyBorder="1" applyAlignment="1">
      <alignment horizontal="right"/>
    </xf>
    <xf numFmtId="0" fontId="44" fillId="0" borderId="10" xfId="2" applyFont="1" applyBorder="1"/>
    <xf numFmtId="0" fontId="47" fillId="0" borderId="10" xfId="2" applyFont="1" applyBorder="1" applyAlignment="1">
      <alignment horizontal="left"/>
    </xf>
    <xf numFmtId="0" fontId="46" fillId="0" borderId="10" xfId="2" applyFont="1" applyBorder="1"/>
    <xf numFmtId="0" fontId="46" fillId="0" borderId="7" xfId="0" applyFont="1" applyBorder="1" applyAlignment="1">
      <alignment horizontal="right" vertical="center"/>
    </xf>
    <xf numFmtId="0" fontId="47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1" fillId="5" borderId="24" xfId="2" applyNumberFormat="1" applyFont="1" applyFill="1" applyBorder="1" applyAlignment="1" applyProtection="1">
      <alignment horizontal="center"/>
      <protection hidden="1"/>
    </xf>
    <xf numFmtId="176" fontId="31" fillId="5" borderId="26" xfId="2" applyNumberFormat="1" applyFont="1" applyFill="1" applyBorder="1" applyAlignment="1" applyProtection="1">
      <alignment horizontal="center"/>
      <protection hidden="1"/>
    </xf>
    <xf numFmtId="176" fontId="31" fillId="5" borderId="25" xfId="2" applyNumberFormat="1" applyFont="1" applyFill="1" applyBorder="1" applyAlignment="1" applyProtection="1">
      <alignment horizontal="center"/>
      <protection hidden="1"/>
    </xf>
    <xf numFmtId="0" fontId="31" fillId="5" borderId="63" xfId="2" applyFont="1" applyFill="1" applyBorder="1" applyAlignment="1">
      <alignment horizontal="center"/>
    </xf>
    <xf numFmtId="0" fontId="31" fillId="5" borderId="20" xfId="2" applyFont="1" applyFill="1" applyBorder="1" applyAlignment="1">
      <alignment horizontal="center"/>
    </xf>
    <xf numFmtId="0" fontId="31" fillId="5" borderId="23" xfId="2" applyFont="1" applyFill="1" applyBorder="1" applyAlignment="1">
      <alignment horizontal="center"/>
    </xf>
    <xf numFmtId="176" fontId="31" fillId="5" borderId="63" xfId="2" applyNumberFormat="1" applyFont="1" applyFill="1" applyBorder="1" applyAlignment="1">
      <alignment horizontal="center"/>
    </xf>
    <xf numFmtId="196" fontId="31" fillId="5" borderId="63" xfId="2" applyNumberFormat="1" applyFont="1" applyFill="1" applyBorder="1" applyAlignment="1">
      <alignment horizontal="center"/>
    </xf>
    <xf numFmtId="196" fontId="31" fillId="5" borderId="20" xfId="2" applyNumberFormat="1" applyFont="1" applyFill="1" applyBorder="1" applyAlignment="1">
      <alignment horizontal="center"/>
    </xf>
    <xf numFmtId="196" fontId="31" fillId="5" borderId="23" xfId="2" applyNumberFormat="1" applyFont="1" applyFill="1" applyBorder="1" applyAlignment="1">
      <alignment horizontal="center"/>
    </xf>
    <xf numFmtId="174" fontId="31" fillId="5" borderId="63" xfId="2" applyNumberFormat="1" applyFont="1" applyFill="1" applyBorder="1" applyAlignment="1">
      <alignment horizontal="center"/>
    </xf>
    <xf numFmtId="174" fontId="31" fillId="5" borderId="20" xfId="2" applyNumberFormat="1" applyFont="1" applyFill="1" applyBorder="1" applyAlignment="1">
      <alignment horizontal="center"/>
    </xf>
    <xf numFmtId="174" fontId="31" fillId="5" borderId="23" xfId="2" applyNumberFormat="1" applyFont="1" applyFill="1" applyBorder="1" applyAlignment="1">
      <alignment horizontal="center"/>
    </xf>
    <xf numFmtId="167" fontId="31" fillId="5" borderId="63" xfId="2" applyNumberFormat="1" applyFont="1" applyFill="1" applyBorder="1" applyAlignment="1">
      <alignment horizontal="center"/>
    </xf>
    <xf numFmtId="167" fontId="31" fillId="5" borderId="20" xfId="2" applyNumberFormat="1" applyFont="1" applyFill="1" applyBorder="1" applyAlignment="1">
      <alignment horizontal="center"/>
    </xf>
    <xf numFmtId="167" fontId="31" fillId="5" borderId="23" xfId="2" applyNumberFormat="1" applyFont="1" applyFill="1" applyBorder="1" applyAlignment="1">
      <alignment horizontal="center"/>
    </xf>
    <xf numFmtId="170" fontId="31" fillId="5" borderId="63" xfId="2" applyNumberFormat="1" applyFont="1" applyFill="1" applyBorder="1" applyAlignment="1">
      <alignment horizontal="center"/>
    </xf>
    <xf numFmtId="170" fontId="31" fillId="5" borderId="20" xfId="2" applyNumberFormat="1" applyFont="1" applyFill="1" applyBorder="1" applyAlignment="1">
      <alignment horizontal="center"/>
    </xf>
    <xf numFmtId="170" fontId="31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1" fillId="5" borderId="24" xfId="2" applyNumberFormat="1" applyFont="1" applyFill="1" applyBorder="1" applyAlignment="1">
      <alignment horizontal="center"/>
    </xf>
    <xf numFmtId="197" fontId="31" fillId="5" borderId="26" xfId="2" applyNumberFormat="1" applyFont="1" applyFill="1" applyBorder="1" applyAlignment="1">
      <alignment horizontal="center"/>
    </xf>
    <xf numFmtId="197" fontId="31" fillId="5" borderId="25" xfId="2" applyNumberFormat="1" applyFont="1" applyFill="1" applyBorder="1" applyAlignment="1">
      <alignment horizontal="center"/>
    </xf>
    <xf numFmtId="0" fontId="43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1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40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4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8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30" fillId="5" borderId="24" xfId="2" applyNumberFormat="1" applyFont="1" applyFill="1" applyBorder="1" applyAlignment="1" applyProtection="1">
      <alignment horizontal="center" vertical="center"/>
      <protection hidden="1"/>
    </xf>
    <xf numFmtId="0" fontId="30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1" fillId="5" borderId="34" xfId="2" applyNumberFormat="1" applyFont="1" applyFill="1" applyBorder="1" applyAlignment="1" applyProtection="1">
      <alignment horizontal="center"/>
      <protection hidden="1"/>
    </xf>
    <xf numFmtId="177" fontId="31" fillId="5" borderId="14" xfId="2" applyNumberFormat="1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 applyProtection="1">
      <alignment horizontal="center"/>
      <protection hidden="1"/>
    </xf>
    <xf numFmtId="176" fontId="31" fillId="5" borderId="14" xfId="2" applyNumberFormat="1" applyFont="1" applyFill="1" applyBorder="1" applyAlignment="1" applyProtection="1">
      <alignment horizontal="center"/>
      <protection hidden="1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0" fontId="15" fillId="0" borderId="0" xfId="2" applyFont="1" applyAlignment="1" applyProtection="1">
      <alignment horizontal="center"/>
      <protection hidden="1"/>
    </xf>
    <xf numFmtId="0" fontId="28" fillId="6" borderId="34" xfId="2" applyFont="1" applyFill="1" applyBorder="1" applyAlignment="1" applyProtection="1">
      <alignment horizontal="center"/>
      <protection hidden="1"/>
    </xf>
    <xf numFmtId="0" fontId="28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31" fillId="6" borderId="2" xfId="2" applyFont="1" applyFill="1" applyBorder="1" applyAlignment="1">
      <alignment horizontal="center"/>
    </xf>
    <xf numFmtId="165" fontId="31" fillId="5" borderId="2" xfId="2" applyNumberFormat="1" applyFont="1" applyFill="1" applyBorder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82" xfId="2" applyNumberFormat="1" applyFont="1" applyFill="1" applyBorder="1" applyAlignment="1" applyProtection="1">
      <alignment horizontal="center"/>
      <protection locked="0"/>
    </xf>
    <xf numFmtId="0" fontId="43" fillId="0" borderId="83" xfId="2" applyFont="1" applyBorder="1" applyAlignment="1">
      <alignment horizontal="center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84" xfId="2" applyFont="1" applyFill="1" applyBorder="1" applyAlignment="1" applyProtection="1">
      <alignment horizont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82" xfId="2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>
      <alignment horizontal="center"/>
    </xf>
    <xf numFmtId="176" fontId="31" fillId="5" borderId="14" xfId="2" applyNumberFormat="1" applyFont="1" applyFill="1" applyBorder="1" applyAlignment="1">
      <alignment horizontal="center"/>
    </xf>
    <xf numFmtId="178" fontId="32" fillId="5" borderId="34" xfId="2" applyNumberFormat="1" applyFont="1" applyFill="1" applyBorder="1" applyAlignment="1">
      <alignment horizontal="center"/>
    </xf>
    <xf numFmtId="178" fontId="32" fillId="5" borderId="14" xfId="2" applyNumberFormat="1" applyFont="1" applyFill="1" applyBorder="1" applyAlignment="1">
      <alignment horizontal="center"/>
    </xf>
    <xf numFmtId="0" fontId="31" fillId="6" borderId="34" xfId="2" applyFont="1" applyFill="1" applyBorder="1" applyAlignment="1">
      <alignment horizontal="center"/>
    </xf>
    <xf numFmtId="0" fontId="31" fillId="6" borderId="14" xfId="2" applyFont="1" applyFill="1" applyBorder="1" applyAlignment="1">
      <alignment horizontal="center"/>
    </xf>
    <xf numFmtId="0" fontId="43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75" xfId="2" applyFont="1" applyFill="1" applyBorder="1" applyAlignment="1" applyProtection="1">
      <alignment horizontal="center"/>
      <protection hidden="1"/>
    </xf>
    <xf numFmtId="0" fontId="2" fillId="10" borderId="76" xfId="2" applyFont="1" applyFill="1" applyBorder="1" applyAlignment="1" applyProtection="1">
      <alignment horizontal="center"/>
      <protection hidden="1"/>
    </xf>
    <xf numFmtId="0" fontId="43" fillId="4" borderId="25" xfId="2" applyFont="1" applyFill="1" applyBorder="1" applyAlignment="1" applyProtection="1">
      <alignment horizontal="center"/>
      <protection locked="0"/>
    </xf>
    <xf numFmtId="0" fontId="43" fillId="4" borderId="77" xfId="2" applyFont="1" applyFill="1" applyBorder="1" applyAlignment="1" applyProtection="1">
      <alignment horizontal="center"/>
      <protection locked="0"/>
    </xf>
    <xf numFmtId="165" fontId="31" fillId="5" borderId="34" xfId="2" applyNumberFormat="1" applyFont="1" applyFill="1" applyBorder="1" applyAlignment="1">
      <alignment horizontal="center"/>
    </xf>
    <xf numFmtId="165" fontId="31" fillId="5" borderId="14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33" fillId="4" borderId="25" xfId="2" applyFont="1" applyFill="1" applyBorder="1" applyAlignment="1" applyProtection="1">
      <alignment horizontal="center" vertical="center"/>
      <protection locked="0"/>
    </xf>
    <xf numFmtId="0" fontId="33" fillId="4" borderId="2" xfId="2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0" fontId="33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98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93" xfId="0" applyFont="1" applyFill="1" applyBorder="1" applyAlignment="1" applyProtection="1">
      <alignment horizontal="center"/>
      <protection hidden="1"/>
    </xf>
    <xf numFmtId="0" fontId="11" fillId="8" borderId="94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95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11" fillId="8" borderId="96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9" fillId="8" borderId="97" xfId="0" applyFont="1" applyFill="1" applyBorder="1" applyAlignment="1" applyProtection="1">
      <alignment horizontal="center" vertical="center"/>
      <protection hidden="1"/>
    </xf>
    <xf numFmtId="0" fontId="39" fillId="8" borderId="89" xfId="0" applyFont="1" applyFill="1" applyBorder="1" applyAlignment="1" applyProtection="1">
      <alignment horizontal="center" vertical="center"/>
      <protection hidden="1"/>
    </xf>
    <xf numFmtId="0" fontId="2" fillId="13" borderId="90" xfId="0" applyFont="1" applyFill="1" applyBorder="1" applyAlignment="1" applyProtection="1">
      <alignment horizontal="center" vertical="center"/>
      <protection locked="0"/>
    </xf>
    <xf numFmtId="0" fontId="2" fillId="13" borderId="91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2" xfId="0" applyFont="1" applyFill="1" applyBorder="1" applyAlignment="1">
      <alignment horizontal="center"/>
    </xf>
    <xf numFmtId="0" fontId="2" fillId="13" borderId="91" xfId="0" applyFont="1" applyFill="1" applyBorder="1" applyAlignment="1">
      <alignment horizontal="center"/>
    </xf>
    <xf numFmtId="166" fontId="2" fillId="17" borderId="46" xfId="0" applyNumberFormat="1" applyFont="1" applyFill="1" applyBorder="1" applyAlignment="1">
      <alignment horizontal="center" vertical="center"/>
    </xf>
    <xf numFmtId="0" fontId="39" fillId="8" borderId="85" xfId="0" applyFont="1" applyFill="1" applyBorder="1" applyAlignment="1" applyProtection="1">
      <alignment horizontal="center" vertical="center"/>
      <protection hidden="1"/>
    </xf>
    <xf numFmtId="0" fontId="39" fillId="8" borderId="86" xfId="0" applyFont="1" applyFill="1" applyBorder="1" applyAlignment="1" applyProtection="1">
      <alignment horizontal="center" vertical="center"/>
      <protection hidden="1"/>
    </xf>
    <xf numFmtId="0" fontId="2" fillId="8" borderId="87" xfId="0" applyFont="1" applyFill="1" applyBorder="1" applyAlignment="1" applyProtection="1">
      <alignment horizontal="center" vertical="center"/>
      <protection hidden="1"/>
    </xf>
    <xf numFmtId="0" fontId="39" fillId="8" borderId="88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1" defaultTableStyle="TableStyleMedium2" defaultPivotStyle="PivotStyleLight16">
    <tableStyle name="Invisible" pivot="0" table="0" count="0" xr9:uid="{F4726A1C-5962-4C6D-A156-DDCD1FCD6B5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85232743879301E-2"/>
          <c:y val="6.1378198400092628E-2"/>
          <c:w val="0.84871001627006748"/>
          <c:h val="0.90566037735849303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  <c:pt idx="4">
                  <c:v>-275</c:v>
                </c:pt>
                <c:pt idx="5">
                  <c:v>-275</c:v>
                </c:pt>
                <c:pt idx="6">
                  <c:v>-1000</c:v>
                </c:pt>
                <c:pt idx="7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F59-84CA-EEBAEE08982C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42</c:v>
                </c:pt>
                <c:pt idx="1">
                  <c:v>152</c:v>
                </c:pt>
                <c:pt idx="2">
                  <c:v>152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-830</c:v>
                </c:pt>
                <c:pt idx="1">
                  <c:v>-970</c:v>
                </c:pt>
                <c:pt idx="2">
                  <c:v>-1050</c:v>
                </c:pt>
                <c:pt idx="3">
                  <c:v>-1000</c:v>
                </c:pt>
                <c:pt idx="4">
                  <c:v>-830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5-4F59-84CA-EEBAEE08982C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  <c:pt idx="4">
                  <c:v>-275</c:v>
                </c:pt>
                <c:pt idx="5">
                  <c:v>-275</c:v>
                </c:pt>
                <c:pt idx="6">
                  <c:v>-1000</c:v>
                </c:pt>
                <c:pt idx="7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5-4F59-84CA-EEBAEE08982C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-42</c:v>
                </c:pt>
                <c:pt idx="1">
                  <c:v>-152</c:v>
                </c:pt>
                <c:pt idx="2">
                  <c:v>-152</c:v>
                </c:pt>
                <c:pt idx="3">
                  <c:v>-42</c:v>
                </c:pt>
                <c:pt idx="4">
                  <c:v>-42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-830</c:v>
                </c:pt>
                <c:pt idx="1">
                  <c:v>-970</c:v>
                </c:pt>
                <c:pt idx="2">
                  <c:v>-1050</c:v>
                </c:pt>
                <c:pt idx="3">
                  <c:v>-1000</c:v>
                </c:pt>
                <c:pt idx="4">
                  <c:v>-830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5-4F59-84CA-EEBAEE08982C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-532.14654198418225</c:v>
                </c:pt>
                <c:pt idx="1">
                  <c:v>-526.52224371373313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35-4F59-84CA-EEBAEE08982C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88.601776641144014</c:v>
                </c:pt>
                <c:pt idx="2">
                  <c:v>88.601776641144014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-830.54830382381454</c:v>
                </c:pt>
                <c:pt idx="1">
                  <c:v>-830.54830382381454</c:v>
                </c:pt>
                <c:pt idx="2">
                  <c:v>-830.54830382381454</c:v>
                </c:pt>
                <c:pt idx="3">
                  <c:v>-830.54830382381454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5-4F59-84CA-EEBAEE08982C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35-4F59-84CA-EEBAEE08982C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35-4F59-84CA-EEBAEE08982C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35-4F59-84CA-EEBAEE08982C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35-4F59-84CA-EEBAEE08982C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333.33333333333331</c:v>
                </c:pt>
                <c:pt idx="1">
                  <c:v>-333.33333333333331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-1060.5</c:v>
                </c:pt>
                <c:pt idx="1">
                  <c:v>-1060.5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35-4F59-84CA-EEBAEE08982C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-12</c:v>
                </c:pt>
                <c:pt idx="1">
                  <c:v>12</c:v>
                </c:pt>
                <c:pt idx="2">
                  <c:v>12</c:v>
                </c:pt>
                <c:pt idx="3">
                  <c:v>-12</c:v>
                </c:pt>
                <c:pt idx="4">
                  <c:v>-12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-722</c:v>
                </c:pt>
                <c:pt idx="1">
                  <c:v>-722</c:v>
                </c:pt>
                <c:pt idx="2">
                  <c:v>-950</c:v>
                </c:pt>
                <c:pt idx="3">
                  <c:v>-950</c:v>
                </c:pt>
                <c:pt idx="4">
                  <c:v>-722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35-4F59-84CA-EEBAEE08982C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35-4F59-84CA-EEBAEE08982C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35-4F59-84CA-EEBAEE08982C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-152</c:v>
                </c:pt>
                <c:pt idx="1">
                  <c:v>-97</c:v>
                </c:pt>
                <c:pt idx="2">
                  <c:v>-42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-1083.3333333333333</c:v>
                </c:pt>
                <c:pt idx="1">
                  <c:v>-1083.3333333333333</c:v>
                </c:pt>
                <c:pt idx="2">
                  <c:v>-1083.3333333333333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535-4F59-84CA-EEBAEE08982C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-185.33333333333334</c:v>
                </c:pt>
                <c:pt idx="1">
                  <c:v>-185.33333333333334</c:v>
                </c:pt>
                <c:pt idx="2">
                  <c:v>-185.33333333333334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-830</c:v>
                </c:pt>
                <c:pt idx="1">
                  <c:v>-900</c:v>
                </c:pt>
                <c:pt idx="2">
                  <c:v>-970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535-4F59-84CA-EEBAEE08982C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-202</c:v>
                </c:pt>
                <c:pt idx="1">
                  <c:v>-202</c:v>
                </c:pt>
                <c:pt idx="2">
                  <c:v>-202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-970</c:v>
                </c:pt>
                <c:pt idx="1">
                  <c:v>-1010</c:v>
                </c:pt>
                <c:pt idx="2">
                  <c:v>-1050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35-4F59-84CA-EEBAEE08982C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-830</c:v>
                </c:pt>
                <c:pt idx="1">
                  <c:v>-915</c:v>
                </c:pt>
                <c:pt idx="2">
                  <c:v>-1000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35-4F59-84CA-EEBAEE08982C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-202</c:v>
                </c:pt>
                <c:pt idx="1">
                  <c:v>-202</c:v>
                </c:pt>
                <c:pt idx="2">
                  <c:v>-202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-529.33439284895769</c:v>
                </c:pt>
                <c:pt idx="1">
                  <c:v>-679.94134833638611</c:v>
                </c:pt>
                <c:pt idx="2">
                  <c:v>-830.54830382381454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35-4F59-84CA-EEBAEE08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200"/>
        <c:axId val="148708736"/>
      </c:scatterChart>
      <c:valAx>
        <c:axId val="14870720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8736"/>
        <c:crosses val="max"/>
        <c:crossBetween val="midCat"/>
      </c:valAx>
      <c:valAx>
        <c:axId val="1487087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72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448.41131178464059</c:v>
                </c:pt>
                <c:pt idx="1">
                  <c:v>105.05661383310698</c:v>
                </c:pt>
                <c:pt idx="2">
                  <c:v>47.263027797561563</c:v>
                </c:pt>
                <c:pt idx="3">
                  <c:v>25.954240741786155</c:v>
                </c:pt>
                <c:pt idx="4">
                  <c:v>14.92296924980524</c:v>
                </c:pt>
                <c:pt idx="5">
                  <c:v>8.1859452294201205</c:v>
                </c:pt>
                <c:pt idx="6">
                  <c:v>3.6460347737158281</c:v>
                </c:pt>
                <c:pt idx="7">
                  <c:v>0.37971460280384545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471B-B048-B774D8756BF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227.07794870527417</c:v>
                </c:pt>
                <c:pt idx="1">
                  <c:v>98.903052266916291</c:v>
                </c:pt>
                <c:pt idx="2">
                  <c:v>46.562565056594742</c:v>
                </c:pt>
                <c:pt idx="3">
                  <c:v>25.808863140245972</c:v>
                </c:pt>
                <c:pt idx="4">
                  <c:v>14.88641351887747</c:v>
                </c:pt>
                <c:pt idx="5">
                  <c:v>8.1770768079894651</c:v>
                </c:pt>
                <c:pt idx="6">
                  <c:v>3.6445614720557331</c:v>
                </c:pt>
                <c:pt idx="7">
                  <c:v>0.37970086016556093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5-471B-B048-B774D8756BF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151.39764383342606</c:v>
                </c:pt>
                <c:pt idx="1">
                  <c:v>90.367866800505951</c:v>
                </c:pt>
                <c:pt idx="2">
                  <c:v>45.448899802529702</c:v>
                </c:pt>
                <c:pt idx="3">
                  <c:v>25.570861979931095</c:v>
                </c:pt>
                <c:pt idx="4">
                  <c:v>14.82596256136387</c:v>
                </c:pt>
                <c:pt idx="5">
                  <c:v>8.1623472364008602</c:v>
                </c:pt>
                <c:pt idx="6">
                  <c:v>3.642109141853251</c:v>
                </c:pt>
                <c:pt idx="7">
                  <c:v>0.37967795842089558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5-471B-B048-B774D875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904"/>
        <c:axId val="193469824"/>
      </c:scatterChart>
      <c:valAx>
        <c:axId val="193467904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9824"/>
        <c:crosses val="autoZero"/>
        <c:crossBetween val="midCat"/>
      </c:valAx>
      <c:valAx>
        <c:axId val="193469824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706733829172051"/>
          <c:w val="0.20833333333333343"/>
          <c:h val="0.2471135276681638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1210.8572728794215</c:v>
                </c:pt>
                <c:pt idx="1">
                  <c:v>588.10672612487394</c:v>
                </c:pt>
                <c:pt idx="2">
                  <c:v>159.17506737476344</c:v>
                </c:pt>
                <c:pt idx="3">
                  <c:v>60.183059609586891</c:v>
                </c:pt>
                <c:pt idx="4">
                  <c:v>26.268798804726259</c:v>
                </c:pt>
                <c:pt idx="5">
                  <c:v>11.602024264441923</c:v>
                </c:pt>
                <c:pt idx="6">
                  <c:v>4.3238068256550939</c:v>
                </c:pt>
                <c:pt idx="7">
                  <c:v>0.38706567668795439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3-4D65-B3FC-606C75B7CC8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530.02138773946626</c:v>
                </c:pt>
                <c:pt idx="1">
                  <c:v>426.52950879602679</c:v>
                </c:pt>
                <c:pt idx="2">
                  <c:v>150.26694855843377</c:v>
                </c:pt>
                <c:pt idx="3">
                  <c:v>59.358135120250601</c:v>
                </c:pt>
                <c:pt idx="4">
                  <c:v>26.163445916861061</c:v>
                </c:pt>
                <c:pt idx="5">
                  <c:v>11.587871344427956</c:v>
                </c:pt>
                <c:pt idx="6">
                  <c:v>4.3224458634219651</c:v>
                </c:pt>
                <c:pt idx="7">
                  <c:v>0.3870582655174642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3-4D65-B3FC-606C75B7CC8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336.49747119030712</c:v>
                </c:pt>
                <c:pt idx="1">
                  <c:v>312.56001683637265</c:v>
                </c:pt>
                <c:pt idx="2">
                  <c:v>138.21318937505009</c:v>
                </c:pt>
                <c:pt idx="3">
                  <c:v>58.058264804157687</c:v>
                </c:pt>
                <c:pt idx="4">
                  <c:v>25.990899336636851</c:v>
                </c:pt>
                <c:pt idx="5">
                  <c:v>11.564414266453218</c:v>
                </c:pt>
                <c:pt idx="6">
                  <c:v>4.3201809215867906</c:v>
                </c:pt>
                <c:pt idx="7">
                  <c:v>0.38704591460038318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3-4D65-B3FC-606C75B7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2576"/>
        <c:axId val="193514496"/>
      </c:scatterChart>
      <c:valAx>
        <c:axId val="1935125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4496"/>
        <c:crosses val="autoZero"/>
        <c:crossBetween val="midCat"/>
      </c:valAx>
      <c:valAx>
        <c:axId val="193514496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396263556678061"/>
          <c:w val="0.20833333333333343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9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9.3519095904628387</c:v>
                </c:pt>
                <c:pt idx="1">
                  <c:v>11.664978987587229</c:v>
                </c:pt>
                <c:pt idx="2">
                  <c:v>6.7595802152610993</c:v>
                </c:pt>
                <c:pt idx="3">
                  <c:v>4.6390578421634334</c:v>
                </c:pt>
                <c:pt idx="4">
                  <c:v>3.5202441724272875</c:v>
                </c:pt>
                <c:pt idx="5">
                  <c:v>2.8343222454825927</c:v>
                </c:pt>
                <c:pt idx="6">
                  <c:v>2.3716557491254235</c:v>
                </c:pt>
                <c:pt idx="7">
                  <c:v>2.0387068821274963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D16-B659-8F15E40A2BDD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5.679416221399558</c:v>
                </c:pt>
                <c:pt idx="1">
                  <c:v>9.5860952707040941</c:v>
                </c:pt>
                <c:pt idx="2">
                  <c:v>6.5365185901468212</c:v>
                </c:pt>
                <c:pt idx="3">
                  <c:v>4.6051208737715541</c:v>
                </c:pt>
                <c:pt idx="4">
                  <c:v>3.5136919060629426</c:v>
                </c:pt>
                <c:pt idx="5">
                  <c:v>2.8330398585303591</c:v>
                </c:pt>
                <c:pt idx="6">
                  <c:v>2.3714775196817461</c:v>
                </c:pt>
                <c:pt idx="7">
                  <c:v>2.0387054539930975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E-4D16-B659-8F15E40A2BDD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1.1598999999999999</c:v>
                </c:pt>
                <c:pt idx="2">
                  <c:v>2.1598999999999999</c:v>
                </c:pt>
                <c:pt idx="3">
                  <c:v>3.1598999999999999</c:v>
                </c:pt>
                <c:pt idx="4">
                  <c:v>4.1599000000000004</c:v>
                </c:pt>
                <c:pt idx="5">
                  <c:v>5.1599000000000004</c:v>
                </c:pt>
                <c:pt idx="6">
                  <c:v>6.1599000000000004</c:v>
                </c:pt>
                <c:pt idx="7">
                  <c:v>7.1599000000000004</c:v>
                </c:pt>
                <c:pt idx="8">
                  <c:v>8.1599000000000004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4.452958837153532</c:v>
                </c:pt>
                <c:pt idx="1">
                  <c:v>7.968962952317086</c:v>
                </c:pt>
                <c:pt idx="2">
                  <c:v>6.2288520636553688</c:v>
                </c:pt>
                <c:pt idx="3">
                  <c:v>4.551420942108841</c:v>
                </c:pt>
                <c:pt idx="4">
                  <c:v>3.5029522172282066</c:v>
                </c:pt>
                <c:pt idx="5">
                  <c:v>2.8309145605952248</c:v>
                </c:pt>
                <c:pt idx="6">
                  <c:v>2.3711809617613469</c:v>
                </c:pt>
                <c:pt idx="7">
                  <c:v>2.0387030740527883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E-4D16-B659-8F15E40A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8976"/>
        <c:axId val="195680896"/>
      </c:scatterChart>
      <c:valAx>
        <c:axId val="1956789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34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80896"/>
        <c:crosses val="autoZero"/>
        <c:crossBetween val="midCat"/>
      </c:valAx>
      <c:valAx>
        <c:axId val="195680896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5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57744916031841"/>
          <c:y val="0.18396263556678061"/>
          <c:w val="0.20325203252032525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7"/>
          <c:y val="8.02141732283464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75E-2"/>
          <c:w val="0.93899204244031864"/>
          <c:h val="0.82887916965859743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B-4801-8589-0A76F8F3832F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B-4801-8589-0A76F8F3832F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B-4801-8589-0A76F8F3832F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B-4801-8589-0A76F8F3832F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4.2857142857142856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B-4801-8589-0A76F8F3832F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2B-4801-8589-0A76F8F3832F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2B-4801-8589-0A76F8F3832F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4.4444444444444446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2B-4801-8589-0A76F8F3832F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2B-4801-8589-0A76F8F3832F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26.666666666666668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3.5524019266622893</c:v>
                </c:pt>
                <c:pt idx="1">
                  <c:v>3.5524019266622893</c:v>
                </c:pt>
                <c:pt idx="2">
                  <c:v>3.6193578584533501</c:v>
                </c:pt>
                <c:pt idx="3">
                  <c:v>3.6193578584533501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15.821745828775716</c:v>
                </c:pt>
                <c:pt idx="1">
                  <c:v>15.821745828775716</c:v>
                </c:pt>
                <c:pt idx="2">
                  <c:v>15.821745828775716</c:v>
                </c:pt>
                <c:pt idx="3">
                  <c:v>15.821745828775716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2B-4801-8589-0A76F8F3832F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3.6193578584533501</c:v>
                </c:pt>
                <c:pt idx="1">
                  <c:v>3.5524019266622893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15.821745828775716</c:v>
                </c:pt>
                <c:pt idx="1">
                  <c:v>15.821745828775716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valAx>
        <c:axId val="148471168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9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81536"/>
        <c:crosses val="autoZero"/>
        <c:crossBetween val="midCat"/>
      </c:valAx>
      <c:valAx>
        <c:axId val="148481536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97E-2"/>
              <c:y val="0.2409990551181102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7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87"/>
          <c:y val="3.857574406972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1860.1319566312261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1860.1319566312261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4CA2-BA56-E0E46E48A26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120.22725943928006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145.88258355673457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170.69966791465134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194.33608612542028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216.98966341076465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238.82443407987887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259.9775178537713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280.5655433175603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300.68923639047262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320.43663773542471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339.88510498243153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359.10183492993116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378.141809989818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397.04102707002102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415.80644718149108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434.41491084949564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452.82458442832393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470.9860142800697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488.8480898131013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506.36104073465117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523.47811605322272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540.15662439814105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556.35860385398087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572.05123716744595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587.20707049734187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601.80407134908751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615.82555246298034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629.25998490583515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642.10072202474498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654.34565479979017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665.99681787926431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677.05996399839069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687.54412256651858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697.46115604416025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706.82532543894138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1856.0996538431443</c:v>
                </c:pt>
                <c:pt idx="302">
                  <c:v>1856.9418870777899</c:v>
                </c:pt>
                <c:pt idx="303">
                  <c:v>1857.6853833193331</c:v>
                </c:pt>
                <c:pt idx="304">
                  <c:v>1858.3302279115285</c:v>
                </c:pt>
                <c:pt idx="305">
                  <c:v>1858.876502323511</c:v>
                </c:pt>
                <c:pt idx="306">
                  <c:v>1859.3242845648954</c:v>
                </c:pt>
                <c:pt idx="307">
                  <c:v>1859.6736496309943</c:v>
                </c:pt>
                <c:pt idx="308">
                  <c:v>1859.9246699762939</c:v>
                </c:pt>
                <c:pt idx="309">
                  <c:v>1860.0774160131207</c:v>
                </c:pt>
                <c:pt idx="310">
                  <c:v>1860.1319566312261</c:v>
                </c:pt>
                <c:pt idx="311">
                  <c:v>1860.0883597329039</c:v>
                </c:pt>
                <c:pt idx="312">
                  <c:v>1859.9466927773403</c:v>
                </c:pt>
                <c:pt idx="313">
                  <c:v>1859.7070233272875</c:v>
                </c:pt>
                <c:pt idx="314">
                  <c:v>1859.3694195908968</c:v>
                </c:pt>
                <c:pt idx="315">
                  <c:v>1858.9339509517044</c:v>
                </c:pt>
                <c:pt idx="316">
                  <c:v>1858.4006884802816</c:v>
                </c:pt>
                <c:pt idx="317">
                  <c:v>1857.7697054219118</c:v>
                </c:pt>
                <c:pt idx="318">
                  <c:v>1857.0410776557305</c:v>
                </c:pt>
                <c:pt idx="319">
                  <c:v>1856.2148841219635</c:v>
                </c:pt>
                <c:pt idx="320">
                  <c:v>1855.2912072151128</c:v>
                </c:pt>
                <c:pt idx="321">
                  <c:v>1854.2701331420892</c:v>
                </c:pt>
                <c:pt idx="322">
                  <c:v>1853.1517522452896</c:v>
                </c:pt>
                <c:pt idx="323">
                  <c:v>1851.9361592914554</c:v>
                </c:pt>
                <c:pt idx="324">
                  <c:v>1850.6234537277785</c:v>
                </c:pt>
                <c:pt idx="325">
                  <c:v>1849.2137399071767</c:v>
                </c:pt>
                <c:pt idx="326">
                  <c:v>1847.7071272849394</c:v>
                </c:pt>
                <c:pt idx="327">
                  <c:v>1846.1037305890895</c:v>
                </c:pt>
                <c:pt idx="328">
                  <c:v>1844.4036699668316</c:v>
                </c:pt>
                <c:pt idx="329">
                  <c:v>1842.6070711094069</c:v>
                </c:pt>
                <c:pt idx="330">
                  <c:v>1840.7140653575625</c:v>
                </c:pt>
                <c:pt idx="331">
                  <c:v>1838.724789789688</c:v>
                </c:pt>
                <c:pt idx="332">
                  <c:v>1836.6393872945109</c:v>
                </c:pt>
                <c:pt idx="333">
                  <c:v>1834.4580066300575</c:v>
                </c:pt>
                <c:pt idx="334">
                  <c:v>1832.1808024704153</c:v>
                </c:pt>
                <c:pt idx="335">
                  <c:v>1829.8079354416609</c:v>
                </c:pt>
                <c:pt idx="336">
                  <c:v>1827.339572148162</c:v>
                </c:pt>
                <c:pt idx="337">
                  <c:v>1824.7758851903159</c:v>
                </c:pt>
                <c:pt idx="338">
                  <c:v>1822.1170531746593</c:v>
                </c:pt>
                <c:pt idx="339">
                  <c:v>1819.3632607171646</c:v>
                </c:pt>
                <c:pt idx="340">
                  <c:v>1816.5146984404362</c:v>
                </c:pt>
                <c:pt idx="341">
                  <c:v>1813.5715629654303</c:v>
                </c:pt>
                <c:pt idx="342">
                  <c:v>1810.5340568982417</c:v>
                </c:pt>
                <c:pt idx="343">
                  <c:v>1807.4023888124318</c:v>
                </c:pt>
                <c:pt idx="344">
                  <c:v>1804.1767732273115</c:v>
                </c:pt>
                <c:pt idx="345">
                  <c:v>1800.8574305825434</c:v>
                </c:pt>
                <c:pt idx="346">
                  <c:v>1797.4445872093788</c:v>
                </c:pt>
                <c:pt idx="347">
                  <c:v>1793.9384752988101</c:v>
                </c:pt>
                <c:pt idx="348">
                  <c:v>1790.3393328668824</c:v>
                </c:pt>
                <c:pt idx="349">
                  <c:v>1786.6474037173818</c:v>
                </c:pt>
                <c:pt idx="350">
                  <c:v>1782.8629374020923</c:v>
                </c:pt>
                <c:pt idx="351">
                  <c:v>1778.9861891787893</c:v>
                </c:pt>
                <c:pt idx="352">
                  <c:v>1775.0174199671246</c:v>
                </c:pt>
                <c:pt idx="353">
                  <c:v>1770.9568963025347</c:v>
                </c:pt>
                <c:pt idx="354">
                  <c:v>1766.804890288297</c:v>
                </c:pt>
                <c:pt idx="355">
                  <c:v>1762.5616795458432</c:v>
                </c:pt>
                <c:pt idx="356">
                  <c:v>1758.2275471634282</c:v>
                </c:pt>
                <c:pt idx="357">
                  <c:v>1753.8027816432457</c:v>
                </c:pt>
                <c:pt idx="358">
                  <c:v>1749.2876768470735</c:v>
                </c:pt>
                <c:pt idx="359">
                  <c:v>1744.6825319405252</c:v>
                </c:pt>
                <c:pt idx="360">
                  <c:v>1739.9876513359757</c:v>
                </c:pt>
                <c:pt idx="361">
                  <c:v>1735.2033446342293</c:v>
                </c:pt>
                <c:pt idx="362">
                  <c:v>1730.3299265649887</c:v>
                </c:pt>
                <c:pt idx="363">
                  <c:v>1725.3677169261816</c:v>
                </c:pt>
                <c:pt idx="364">
                  <c:v>1720.3170405222002</c:v>
                </c:pt>
                <c:pt idx="365">
                  <c:v>1715.1782271011011</c:v>
                </c:pt>
                <c:pt idx="366">
                  <c:v>1709.9516112908175</c:v>
                </c:pt>
                <c:pt idx="367">
                  <c:v>1704.6375325344245</c:v>
                </c:pt>
                <c:pt idx="368">
                  <c:v>1699.236335024505</c:v>
                </c:pt>
                <c:pt idx="369">
                  <c:v>1693.7483676366564</c:v>
                </c:pt>
                <c:pt idx="370">
                  <c:v>1688.1739838621781</c:v>
                </c:pt>
                <c:pt idx="371">
                  <c:v>1682.5135417399792</c:v>
                </c:pt>
                <c:pt idx="372">
                  <c:v>1676.7674037877441</c:v>
                </c:pt>
                <c:pt idx="373">
                  <c:v>1670.9359369323925</c:v>
                </c:pt>
                <c:pt idx="374">
                  <c:v>1665.0195124398681</c:v>
                </c:pt>
                <c:pt idx="375">
                  <c:v>1659.0185058442942</c:v>
                </c:pt>
                <c:pt idx="376">
                  <c:v>1652.9332968765252</c:v>
                </c:pt>
                <c:pt idx="377">
                  <c:v>1646.7642693921312</c:v>
                </c:pt>
                <c:pt idx="378">
                  <c:v>1640.5118112988462</c:v>
                </c:pt>
                <c:pt idx="379">
                  <c:v>1634.1763144835131</c:v>
                </c:pt>
                <c:pt idx="380">
                  <c:v>1627.7581747385559</c:v>
                </c:pt>
                <c:pt idx="381">
                  <c:v>1621.2577916880093</c:v>
                </c:pt>
                <c:pt idx="382">
                  <c:v>1614.6755687131385</c:v>
                </c:pt>
                <c:pt idx="383">
                  <c:v>1608.0119128776773</c:v>
                </c:pt>
                <c:pt idx="384">
                  <c:v>1601.267234852714</c:v>
                </c:pt>
                <c:pt idx="385">
                  <c:v>1594.441948841255</c:v>
                </c:pt>
                <c:pt idx="386">
                  <c:v>1587.5364725024954</c:v>
                </c:pt>
                <c:pt idx="387">
                  <c:v>1580.5512268758225</c:v>
                </c:pt>
                <c:pt idx="388">
                  <c:v>1573.486636304584</c:v>
                </c:pt>
                <c:pt idx="389">
                  <c:v>1566.343128359644</c:v>
                </c:pt>
                <c:pt idx="390">
                  <c:v>1559.1211337627597</c:v>
                </c:pt>
                <c:pt idx="391">
                  <c:v>1551.8210863098002</c:v>
                </c:pt>
                <c:pt idx="392">
                  <c:v>1544.443422793838</c:v>
                </c:pt>
                <c:pt idx="393">
                  <c:v>1536.9885829281377</c:v>
                </c:pt>
                <c:pt idx="394">
                  <c:v>1529.4570092690697</c:v>
                </c:pt>
                <c:pt idx="395">
                  <c:v>1521.8491471389714</c:v>
                </c:pt>
                <c:pt idx="396">
                  <c:v>1514.1654445489853</c:v>
                </c:pt>
                <c:pt idx="397">
                  <c:v>1506.4063521218961</c:v>
                </c:pt>
                <c:pt idx="398">
                  <c:v>1498.5723230149927</c:v>
                </c:pt>
                <c:pt idx="399">
                  <c:v>1490.6638128429795</c:v>
                </c:pt>
                <c:pt idx="400">
                  <c:v>1482.6812796009613</c:v>
                </c:pt>
                <c:pt idx="401">
                  <c:v>1474.6251835875237</c:v>
                </c:pt>
                <c:pt idx="402">
                  <c:v>1466.4959873279361</c:v>
                </c:pt>
                <c:pt idx="403">
                  <c:v>1458.2941554974966</c:v>
                </c:pt>
                <c:pt idx="404">
                  <c:v>1450.0201548450436</c:v>
                </c:pt>
                <c:pt idx="405">
                  <c:v>1441.6744541166561</c:v>
                </c:pt>
                <c:pt idx="406">
                  <c:v>1433.257523979564</c:v>
                </c:pt>
                <c:pt idx="407">
                  <c:v>1424.7698369462914</c:v>
                </c:pt>
                <c:pt idx="408">
                  <c:v>1416.2118672990528</c:v>
                </c:pt>
                <c:pt idx="409">
                  <c:v>1407.5840910144236</c:v>
                </c:pt>
                <c:pt idx="410">
                  <c:v>1398.8869856883068</c:v>
                </c:pt>
                <c:pt idx="411">
                  <c:v>1390.121030461213</c:v>
                </c:pt>
                <c:pt idx="412">
                  <c:v>1381.2867059438765</c:v>
                </c:pt>
                <c:pt idx="413">
                  <c:v>1372.3844941432262</c:v>
                </c:pt>
                <c:pt idx="414">
                  <c:v>1363.4148783887283</c:v>
                </c:pt>
                <c:pt idx="415">
                  <c:v>1354.3783432591226</c:v>
                </c:pt>
                <c:pt idx="416">
                  <c:v>1345.2753745095681</c:v>
                </c:pt>
                <c:pt idx="417">
                  <c:v>1336.1064589992166</c:v>
                </c:pt>
                <c:pt idx="418">
                  <c:v>1326.872084619233</c:v>
                </c:pt>
                <c:pt idx="419">
                  <c:v>1317.5727402212767</c:v>
                </c:pt>
                <c:pt idx="420">
                  <c:v>1308.2089155464632</c:v>
                </c:pt>
                <c:pt idx="421">
                  <c:v>1298.7811011548206</c:v>
                </c:pt>
                <c:pt idx="422">
                  <c:v>1289.2897883552575</c:v>
                </c:pt>
                <c:pt idx="423">
                  <c:v>1279.7354691360581</c:v>
                </c:pt>
                <c:pt idx="424">
                  <c:v>1270.1186360959177</c:v>
                </c:pt>
                <c:pt idx="425">
                  <c:v>1260.4397823755357</c:v>
                </c:pt>
                <c:pt idx="426">
                  <c:v>1250.6994015897785</c:v>
                </c:pt>
                <c:pt idx="427">
                  <c:v>1240.8979877604258</c:v>
                </c:pt>
                <c:pt idx="428">
                  <c:v>1231.0360352495161</c:v>
                </c:pt>
                <c:pt idx="429">
                  <c:v>1221.1140386933005</c:v>
                </c:pt>
                <c:pt idx="430">
                  <c:v>1211.1324929368211</c:v>
                </c:pt>
                <c:pt idx="431">
                  <c:v>1201.0918929691229</c:v>
                </c:pt>
                <c:pt idx="432">
                  <c:v>1190.9927338591137</c:v>
                </c:pt>
                <c:pt idx="433">
                  <c:v>1180.8355106920806</c:v>
                </c:pt>
                <c:pt idx="434">
                  <c:v>1170.6207185068754</c:v>
                </c:pt>
                <c:pt idx="435">
                  <c:v>1160.3488522337798</c:v>
                </c:pt>
                <c:pt idx="436">
                  <c:v>1150.0204066330589</c:v>
                </c:pt>
                <c:pt idx="437">
                  <c:v>1139.6358762342136</c:v>
                </c:pt>
                <c:pt idx="438">
                  <c:v>1129.19575527594</c:v>
                </c:pt>
                <c:pt idx="439">
                  <c:v>1118.7005376468071</c:v>
                </c:pt>
                <c:pt idx="440">
                  <c:v>1108.1507168266571</c:v>
                </c:pt>
                <c:pt idx="441">
                  <c:v>1097.5467858287409</c:v>
                </c:pt>
                <c:pt idx="442">
                  <c:v>1086.8892371425914</c:v>
                </c:pt>
                <c:pt idx="443">
                  <c:v>1076.1785626776464</c:v>
                </c:pt>
                <c:pt idx="444">
                  <c:v>1065.4152537076252</c:v>
                </c:pt>
                <c:pt idx="445">
                  <c:v>1054.5998008156648</c:v>
                </c:pt>
                <c:pt idx="446">
                  <c:v>1043.7326938402239</c:v>
                </c:pt>
                <c:pt idx="447">
                  <c:v>1032.8144218217576</c:v>
                </c:pt>
                <c:pt idx="448">
                  <c:v>1021.8454729501716</c:v>
                </c:pt>
                <c:pt idx="449">
                  <c:v>1010.8263345130558</c:v>
                </c:pt>
                <c:pt idx="450">
                  <c:v>999.75749284470635</c:v>
                </c:pt>
                <c:pt idx="451">
                  <c:v>988.63943327593756</c:v>
                </c:pt>
                <c:pt idx="452">
                  <c:v>977.47264008468778</c:v>
                </c:pt>
                <c:pt idx="453">
                  <c:v>966.25759644742368</c:v>
                </c:pt>
                <c:pt idx="454">
                  <c:v>954.99478439134407</c:v>
                </c:pt>
                <c:pt idx="455">
                  <c:v>943.68468474738756</c:v>
                </c:pt>
                <c:pt idx="456">
                  <c:v>932.32777710404548</c:v>
                </c:pt>
                <c:pt idx="457">
                  <c:v>920.9245397619818</c:v>
                </c:pt>
                <c:pt idx="458">
                  <c:v>909.47544968946227</c:v>
                </c:pt>
                <c:pt idx="459">
                  <c:v>897.98098247859355</c:v>
                </c:pt>
                <c:pt idx="460">
                  <c:v>886.4416123023733</c:v>
                </c:pt>
                <c:pt idx="461">
                  <c:v>874.85781187255202</c:v>
                </c:pt>
                <c:pt idx="462">
                  <c:v>863.23005239830673</c:v>
                </c:pt>
                <c:pt idx="463">
                  <c:v>851.55880354572628</c:v>
                </c:pt>
                <c:pt idx="464">
                  <c:v>839.84453339810875</c:v>
                </c:pt>
                <c:pt idx="465">
                  <c:v>828.08770841706894</c:v>
                </c:pt>
                <c:pt idx="466">
                  <c:v>816.2887934044561</c:v>
                </c:pt>
                <c:pt idx="467">
                  <c:v>804.44825146508026</c:v>
                </c:pt>
                <c:pt idx="468">
                  <c:v>792.56654397024568</c:v>
                </c:pt>
                <c:pt idx="469">
                  <c:v>780.64413052208988</c:v>
                </c:pt>
                <c:pt idx="470">
                  <c:v>768.68146891872516</c:v>
                </c:pt>
                <c:pt idx="471">
                  <c:v>756.67901512018193</c:v>
                </c:pt>
                <c:pt idx="472">
                  <c:v>744.63722321514979</c:v>
                </c:pt>
                <c:pt idx="473">
                  <c:v>732.556545388514</c:v>
                </c:pt>
                <c:pt idx="474">
                  <c:v>720.4374318896846</c:v>
                </c:pt>
                <c:pt idx="475">
                  <c:v>708.28033100171456</c:v>
                </c:pt>
                <c:pt idx="476">
                  <c:v>696.08568901120293</c:v>
                </c:pt>
                <c:pt idx="477">
                  <c:v>683.85395017897997</c:v>
                </c:pt>
                <c:pt idx="478">
                  <c:v>671.58555671156978</c:v>
                </c:pt>
                <c:pt idx="479">
                  <c:v>659.28094873342627</c:v>
                </c:pt>
                <c:pt idx="480">
                  <c:v>646.94056425993801</c:v>
                </c:pt>
                <c:pt idx="481">
                  <c:v>634.56483917119704</c:v>
                </c:pt>
                <c:pt idx="482">
                  <c:v>622.15420718652763</c:v>
                </c:pt>
                <c:pt idx="483">
                  <c:v>609.70909983976878</c:v>
                </c:pt>
                <c:pt idx="484">
                  <c:v>597.22994645530594</c:v>
                </c:pt>
                <c:pt idx="485">
                  <c:v>584.71717412484657</c:v>
                </c:pt>
                <c:pt idx="486">
                  <c:v>572.17120768493362</c:v>
                </c:pt>
                <c:pt idx="487">
                  <c:v>559.59246969519131</c:v>
                </c:pt>
                <c:pt idx="488">
                  <c:v>546.98138041729726</c:v>
                </c:pt>
                <c:pt idx="489">
                  <c:v>534.33835779467495</c:v>
                </c:pt>
                <c:pt idx="490">
                  <c:v>521.66381743290049</c:v>
                </c:pt>
                <c:pt idx="491">
                  <c:v>508.95817258081655</c:v>
                </c:pt>
                <c:pt idx="492">
                  <c:v>496.22183411234835</c:v>
                </c:pt>
                <c:pt idx="493">
                  <c:v>483.45521050901328</c:v>
                </c:pt>
                <c:pt idx="494">
                  <c:v>470.65870784311909</c:v>
                </c:pt>
                <c:pt idx="495">
                  <c:v>457.83272976164261</c:v>
                </c:pt>
                <c:pt idx="496">
                  <c:v>444.97767747078251</c:v>
                </c:pt>
                <c:pt idx="497">
                  <c:v>432.09394972117883</c:v>
                </c:pt>
                <c:pt idx="498">
                  <c:v>419.18194279379236</c:v>
                </c:pt>
                <c:pt idx="499">
                  <c:v>406.24205048643597</c:v>
                </c:pt>
                <c:pt idx="500">
                  <c:v>393.27466410095116</c:v>
                </c:pt>
                <c:pt idx="501">
                  <c:v>380.28017243102175</c:v>
                </c:pt>
                <c:pt idx="502">
                  <c:v>367.2589617506178</c:v>
                </c:pt>
                <c:pt idx="503">
                  <c:v>354.2114158030613</c:v>
                </c:pt>
                <c:pt idx="504">
                  <c:v>341.13791579070664</c:v>
                </c:pt>
                <c:pt idx="505">
                  <c:v>328.03884036522766</c:v>
                </c:pt>
                <c:pt idx="506">
                  <c:v>314.91456561850367</c:v>
                </c:pt>
                <c:pt idx="507">
                  <c:v>301.76546507409626</c:v>
                </c:pt>
                <c:pt idx="508">
                  <c:v>288.5919096793092</c:v>
                </c:pt>
                <c:pt idx="509">
                  <c:v>275.3942677978232</c:v>
                </c:pt>
                <c:pt idx="510">
                  <c:v>262.17290520289799</c:v>
                </c:pt>
                <c:pt idx="511">
                  <c:v>248.92818507113265</c:v>
                </c:pt>
                <c:pt idx="512">
                  <c:v>235.66046797677723</c:v>
                </c:pt>
                <c:pt idx="513">
                  <c:v>222.37011188658673</c:v>
                </c:pt>
                <c:pt idx="514">
                  <c:v>209.05747215520947</c:v>
                </c:pt>
                <c:pt idx="515">
                  <c:v>195.72290152110168</c:v>
                </c:pt>
                <c:pt idx="516">
                  <c:v>182.36675010296022</c:v>
                </c:pt>
                <c:pt idx="517">
                  <c:v>168.98936539666505</c:v>
                </c:pt>
                <c:pt idx="518">
                  <c:v>155.59109227272305</c:v>
                </c:pt>
                <c:pt idx="519">
                  <c:v>142.1722729742055</c:v>
                </c:pt>
                <c:pt idx="520">
                  <c:v>128.73324711517037</c:v>
                </c:pt>
                <c:pt idx="521">
                  <c:v>115.27435167956151</c:v>
                </c:pt>
                <c:pt idx="522">
                  <c:v>101.79592102057647</c:v>
                </c:pt>
                <c:pt idx="523">
                  <c:v>88.298286860494756</c:v>
                </c:pt>
                <c:pt idx="524">
                  <c:v>74.781778290958073</c:v>
                </c:pt>
                <c:pt idx="525">
                  <c:v>61.246721773694752</c:v>
                </c:pt>
                <c:pt idx="526">
                  <c:v>47.693441141679791</c:v>
                </c:pt>
                <c:pt idx="527">
                  <c:v>34.122257600722669</c:v>
                </c:pt>
                <c:pt idx="528">
                  <c:v>20.533489731474582</c:v>
                </c:pt>
                <c:pt idx="529">
                  <c:v>6.9274534918471407</c:v>
                </c:pt>
                <c:pt idx="530">
                  <c:v>-6.6955377801656066</c:v>
                </c:pt>
                <c:pt idx="531">
                  <c:v>-6.7091691791914165</c:v>
                </c:pt>
                <c:pt idx="532">
                  <c:v>-6.7228005947066771</c:v>
                </c:pt>
                <c:pt idx="533">
                  <c:v>-6.7364320267110829</c:v>
                </c:pt>
                <c:pt idx="534">
                  <c:v>-6.7500634752043274</c:v>
                </c:pt>
                <c:pt idx="535">
                  <c:v>-6.7636949401861042</c:v>
                </c:pt>
                <c:pt idx="536">
                  <c:v>-6.7773264216561069</c:v>
                </c:pt>
                <c:pt idx="537">
                  <c:v>-6.7909579196140291</c:v>
                </c:pt>
                <c:pt idx="538">
                  <c:v>-6.8045894340595652</c:v>
                </c:pt>
                <c:pt idx="539">
                  <c:v>-6.8182209649924079</c:v>
                </c:pt>
                <c:pt idx="540">
                  <c:v>-6.8318525124122518</c:v>
                </c:pt>
                <c:pt idx="541">
                  <c:v>-6.8454840763187903</c:v>
                </c:pt>
                <c:pt idx="542">
                  <c:v>-6.8591156567117171</c:v>
                </c:pt>
                <c:pt idx="543">
                  <c:v>-6.8727472535907266</c:v>
                </c:pt>
                <c:pt idx="544">
                  <c:v>-6.8863788669555124</c:v>
                </c:pt>
                <c:pt idx="545">
                  <c:v>-6.9000104968057681</c:v>
                </c:pt>
                <c:pt idx="546">
                  <c:v>-6.9136421431411872</c:v>
                </c:pt>
                <c:pt idx="547">
                  <c:v>-6.9272738059614634</c:v>
                </c:pt>
                <c:pt idx="548">
                  <c:v>-6.940905485266291</c:v>
                </c:pt>
                <c:pt idx="549">
                  <c:v>-6.9545371810553629</c:v>
                </c:pt>
                <c:pt idx="550">
                  <c:v>-6.9681688933283734</c:v>
                </c:pt>
                <c:pt idx="551">
                  <c:v>-6.9818006220850171</c:v>
                </c:pt>
                <c:pt idx="552">
                  <c:v>-6.9954323673249865</c:v>
                </c:pt>
                <c:pt idx="553">
                  <c:v>-7.0090641290479763</c:v>
                </c:pt>
                <c:pt idx="554">
                  <c:v>-7.0226959072536799</c:v>
                </c:pt>
                <c:pt idx="555">
                  <c:v>-7.0363277019417909</c:v>
                </c:pt>
                <c:pt idx="556">
                  <c:v>-7.049959513112003</c:v>
                </c:pt>
                <c:pt idx="557">
                  <c:v>-7.0635913407640105</c:v>
                </c:pt>
                <c:pt idx="558">
                  <c:v>-7.0772231848975071</c:v>
                </c:pt>
                <c:pt idx="559">
                  <c:v>-7.0908550455121864</c:v>
                </c:pt>
                <c:pt idx="560">
                  <c:v>-7.1044869226077418</c:v>
                </c:pt>
                <c:pt idx="561">
                  <c:v>-7.118118816183868</c:v>
                </c:pt>
                <c:pt idx="562">
                  <c:v>-7.1317507262402584</c:v>
                </c:pt>
                <c:pt idx="563">
                  <c:v>-7.1453826527766067</c:v>
                </c:pt>
                <c:pt idx="564">
                  <c:v>-7.1590145957926064</c:v>
                </c:pt>
                <c:pt idx="565">
                  <c:v>-7.1726465552879519</c:v>
                </c:pt>
                <c:pt idx="566">
                  <c:v>-7.186278531262337</c:v>
                </c:pt>
                <c:pt idx="567">
                  <c:v>-7.199910523715455</c:v>
                </c:pt>
                <c:pt idx="568">
                  <c:v>-7.2135425326470006</c:v>
                </c:pt>
                <c:pt idx="569">
                  <c:v>-7.2271745580566664</c:v>
                </c:pt>
                <c:pt idx="570">
                  <c:v>-7.2408065999441469</c:v>
                </c:pt>
                <c:pt idx="571">
                  <c:v>-7.2544386583091365</c:v>
                </c:pt>
                <c:pt idx="572">
                  <c:v>-7.2680707331513279</c:v>
                </c:pt>
                <c:pt idx="573">
                  <c:v>-7.2817028244704156</c:v>
                </c:pt>
                <c:pt idx="574">
                  <c:v>-7.2953349322660941</c:v>
                </c:pt>
                <c:pt idx="575">
                  <c:v>-7.308967056538056</c:v>
                </c:pt>
                <c:pt idx="576">
                  <c:v>-7.3225991972859958</c:v>
                </c:pt>
                <c:pt idx="577">
                  <c:v>-7.3362313545096072</c:v>
                </c:pt>
                <c:pt idx="578">
                  <c:v>-7.3498635282085836</c:v>
                </c:pt>
                <c:pt idx="579">
                  <c:v>-7.3634957183826195</c:v>
                </c:pt>
                <c:pt idx="580">
                  <c:v>-7.3771279250314086</c:v>
                </c:pt>
                <c:pt idx="581">
                  <c:v>-7.3907601481546452</c:v>
                </c:pt>
                <c:pt idx="582">
                  <c:v>-7.4043923877520221</c:v>
                </c:pt>
                <c:pt idx="583">
                  <c:v>-7.4180246438232338</c:v>
                </c:pt>
                <c:pt idx="584">
                  <c:v>-7.4316569163679747</c:v>
                </c:pt>
                <c:pt idx="585">
                  <c:v>-7.4452892053859374</c:v>
                </c:pt>
                <c:pt idx="586">
                  <c:v>-7.4589215108768165</c:v>
                </c:pt>
                <c:pt idx="587">
                  <c:v>-7.4725538328403065</c:v>
                </c:pt>
                <c:pt idx="588">
                  <c:v>-7.4861861712761</c:v>
                </c:pt>
                <c:pt idx="589">
                  <c:v>-7.4998185261838914</c:v>
                </c:pt>
                <c:pt idx="590">
                  <c:v>-7.5134508975633745</c:v>
                </c:pt>
                <c:pt idx="591">
                  <c:v>-7.5270832854142435</c:v>
                </c:pt>
                <c:pt idx="592">
                  <c:v>-7.5407156897361922</c:v>
                </c:pt>
                <c:pt idx="593">
                  <c:v>-7.5543481105289141</c:v>
                </c:pt>
                <c:pt idx="594">
                  <c:v>-7.5679805477921036</c:v>
                </c:pt>
                <c:pt idx="595">
                  <c:v>-7.5816130015254544</c:v>
                </c:pt>
                <c:pt idx="596">
                  <c:v>-7.5952454717286608</c:v>
                </c:pt>
                <c:pt idx="597">
                  <c:v>-7.6088779584014157</c:v>
                </c:pt>
                <c:pt idx="598">
                  <c:v>-7.6225104615434143</c:v>
                </c:pt>
                <c:pt idx="599">
                  <c:v>-7.6361429811543493</c:v>
                </c:pt>
                <c:pt idx="600">
                  <c:v>-7.6497755172339152</c:v>
                </c:pt>
                <c:pt idx="601">
                  <c:v>-7.6634080697818057</c:v>
                </c:pt>
                <c:pt idx="602">
                  <c:v>-7.677040638797715</c:v>
                </c:pt>
                <c:pt idx="603">
                  <c:v>-7.6906732242813369</c:v>
                </c:pt>
                <c:pt idx="604">
                  <c:v>-7.7043058262323649</c:v>
                </c:pt>
                <c:pt idx="605">
                  <c:v>-7.7179384446504935</c:v>
                </c:pt>
                <c:pt idx="606">
                  <c:v>-7.7315710795354162</c:v>
                </c:pt>
                <c:pt idx="607">
                  <c:v>-7.7452037308868276</c:v>
                </c:pt>
                <c:pt idx="608">
                  <c:v>-7.7588363987044202</c:v>
                </c:pt>
                <c:pt idx="609">
                  <c:v>-7.7724690829878895</c:v>
                </c:pt>
                <c:pt idx="610">
                  <c:v>-7.7861017837369291</c:v>
                </c:pt>
                <c:pt idx="611">
                  <c:v>-7.7997345009512324</c:v>
                </c:pt>
                <c:pt idx="612">
                  <c:v>-7.8133672346304932</c:v>
                </c:pt>
                <c:pt idx="613">
                  <c:v>-7.8269999847744058</c:v>
                </c:pt>
                <c:pt idx="614">
                  <c:v>-7.8406327513826639</c:v>
                </c:pt>
                <c:pt idx="615">
                  <c:v>-7.8542655344549619</c:v>
                </c:pt>
                <c:pt idx="616">
                  <c:v>-7.8678983339909934</c:v>
                </c:pt>
                <c:pt idx="617">
                  <c:v>-7.8815311499904528</c:v>
                </c:pt>
                <c:pt idx="618">
                  <c:v>-7.8951639824530337</c:v>
                </c:pt>
                <c:pt idx="619">
                  <c:v>-7.9087968313784298</c:v>
                </c:pt>
                <c:pt idx="620">
                  <c:v>-7.9224296967663355</c:v>
                </c:pt>
                <c:pt idx="621">
                  <c:v>-7.9360625786164452</c:v>
                </c:pt>
                <c:pt idx="622">
                  <c:v>-7.9496954769284516</c:v>
                </c:pt>
                <c:pt idx="623">
                  <c:v>-7.9633283917020492</c:v>
                </c:pt>
                <c:pt idx="624">
                  <c:v>-7.9769613229369325</c:v>
                </c:pt>
                <c:pt idx="625">
                  <c:v>-7.990594270632795</c:v>
                </c:pt>
                <c:pt idx="626">
                  <c:v>-8.0042272347893313</c:v>
                </c:pt>
                <c:pt idx="627">
                  <c:v>-8.0178602154062339</c:v>
                </c:pt>
                <c:pt idx="628">
                  <c:v>-8.0314932124831984</c:v>
                </c:pt>
                <c:pt idx="629">
                  <c:v>-8.0451262260199172</c:v>
                </c:pt>
                <c:pt idx="630">
                  <c:v>-8.058759256016085</c:v>
                </c:pt>
                <c:pt idx="631">
                  <c:v>-8.0723923024713962</c:v>
                </c:pt>
                <c:pt idx="632">
                  <c:v>-8.0860253653855452</c:v>
                </c:pt>
                <c:pt idx="633">
                  <c:v>-8.0996584447582247</c:v>
                </c:pt>
                <c:pt idx="634">
                  <c:v>-8.1132915405891293</c:v>
                </c:pt>
                <c:pt idx="635">
                  <c:v>-8.1269246528779533</c:v>
                </c:pt>
                <c:pt idx="636">
                  <c:v>-8.1405577816243913</c:v>
                </c:pt>
                <c:pt idx="637">
                  <c:v>-8.1541909268281358</c:v>
                </c:pt>
                <c:pt idx="638">
                  <c:v>-8.1678240884888815</c:v>
                </c:pt>
                <c:pt idx="639">
                  <c:v>-8.1814572666063228</c:v>
                </c:pt>
                <c:pt idx="640">
                  <c:v>-8.1950904611801523</c:v>
                </c:pt>
                <c:pt idx="641">
                  <c:v>-8.2087236722100663</c:v>
                </c:pt>
                <c:pt idx="642">
                  <c:v>-8.2223568996957574</c:v>
                </c:pt>
                <c:pt idx="643">
                  <c:v>-8.2359901436369185</c:v>
                </c:pt>
                <c:pt idx="644">
                  <c:v>-8.2496234040332457</c:v>
                </c:pt>
                <c:pt idx="645">
                  <c:v>-8.2632566808844317</c:v>
                </c:pt>
                <c:pt idx="646">
                  <c:v>-8.2768899741901709</c:v>
                </c:pt>
                <c:pt idx="647">
                  <c:v>-8.2905232839501579</c:v>
                </c:pt>
                <c:pt idx="648">
                  <c:v>-8.3041566101640854</c:v>
                </c:pt>
                <c:pt idx="649">
                  <c:v>-8.3177899528316495</c:v>
                </c:pt>
                <c:pt idx="650">
                  <c:v>-8.3314233119525429</c:v>
                </c:pt>
                <c:pt idx="651">
                  <c:v>-8.3450566875264585</c:v>
                </c:pt>
                <c:pt idx="652">
                  <c:v>-8.3586900795530923</c:v>
                </c:pt>
                <c:pt idx="653">
                  <c:v>-8.3723234880321371</c:v>
                </c:pt>
                <c:pt idx="654">
                  <c:v>-8.3859569129632874</c:v>
                </c:pt>
                <c:pt idx="655">
                  <c:v>-8.3995903543462376</c:v>
                </c:pt>
                <c:pt idx="656">
                  <c:v>-8.4132238121806822</c:v>
                </c:pt>
                <c:pt idx="657">
                  <c:v>-8.4268572864663138</c:v>
                </c:pt>
                <c:pt idx="658">
                  <c:v>-8.440490777202827</c:v>
                </c:pt>
                <c:pt idx="659">
                  <c:v>-8.4541242843899163</c:v>
                </c:pt>
                <c:pt idx="660">
                  <c:v>-8.467757808027276</c:v>
                </c:pt>
                <c:pt idx="661">
                  <c:v>-8.4813913481145988</c:v>
                </c:pt>
                <c:pt idx="662">
                  <c:v>-8.4950249046515793</c:v>
                </c:pt>
                <c:pt idx="663">
                  <c:v>-8.5086584776379119</c:v>
                </c:pt>
                <c:pt idx="664">
                  <c:v>-8.5222920670732911</c:v>
                </c:pt>
                <c:pt idx="665">
                  <c:v>-8.5359256729574113</c:v>
                </c:pt>
                <c:pt idx="666">
                  <c:v>-8.5495592952899653</c:v>
                </c:pt>
                <c:pt idx="667">
                  <c:v>-8.5631929340706474</c:v>
                </c:pt>
                <c:pt idx="668">
                  <c:v>-8.5768265892991522</c:v>
                </c:pt>
                <c:pt idx="669">
                  <c:v>-8.5904602609751741</c:v>
                </c:pt>
                <c:pt idx="670">
                  <c:v>-8.6040939490984059</c:v>
                </c:pt>
                <c:pt idx="671">
                  <c:v>-8.6177276536685419</c:v>
                </c:pt>
                <c:pt idx="672">
                  <c:v>-8.6313613746852766</c:v>
                </c:pt>
                <c:pt idx="673">
                  <c:v>-8.6449951121483046</c:v>
                </c:pt>
                <c:pt idx="674">
                  <c:v>-8.6586288660573203</c:v>
                </c:pt>
                <c:pt idx="675">
                  <c:v>-8.6722626364120163</c:v>
                </c:pt>
                <c:pt idx="676">
                  <c:v>-8.6858964232120872</c:v>
                </c:pt>
                <c:pt idx="677">
                  <c:v>-8.6995302264572274</c:v>
                </c:pt>
                <c:pt idx="678">
                  <c:v>-8.7131640461471314</c:v>
                </c:pt>
                <c:pt idx="679">
                  <c:v>-8.7267978822814936</c:v>
                </c:pt>
                <c:pt idx="680">
                  <c:v>-8.7404317348600067</c:v>
                </c:pt>
                <c:pt idx="681">
                  <c:v>-8.7540656038823652</c:v>
                </c:pt>
                <c:pt idx="682">
                  <c:v>-8.7676994893482636</c:v>
                </c:pt>
                <c:pt idx="683">
                  <c:v>-8.7813333912573963</c:v>
                </c:pt>
                <c:pt idx="684">
                  <c:v>-8.7949673096094578</c:v>
                </c:pt>
                <c:pt idx="685">
                  <c:v>-8.8086012444041408</c:v>
                </c:pt>
                <c:pt idx="686">
                  <c:v>-8.8222351956411416</c:v>
                </c:pt>
                <c:pt idx="687">
                  <c:v>-8.8358691633201527</c:v>
                </c:pt>
                <c:pt idx="688">
                  <c:v>-8.849503147440867</c:v>
                </c:pt>
                <c:pt idx="689">
                  <c:v>-8.8631371480029806</c:v>
                </c:pt>
                <c:pt idx="690">
                  <c:v>-8.876771165006188</c:v>
                </c:pt>
                <c:pt idx="691">
                  <c:v>-8.890405198450182</c:v>
                </c:pt>
                <c:pt idx="692">
                  <c:v>-8.9040392483346569</c:v>
                </c:pt>
                <c:pt idx="693">
                  <c:v>-8.9176733146593072</c:v>
                </c:pt>
                <c:pt idx="694">
                  <c:v>-8.9313073974238275</c:v>
                </c:pt>
                <c:pt idx="695">
                  <c:v>-8.9449414966279104</c:v>
                </c:pt>
                <c:pt idx="696">
                  <c:v>-8.9585756122712521</c:v>
                </c:pt>
                <c:pt idx="697">
                  <c:v>-8.9722097443535453</c:v>
                </c:pt>
                <c:pt idx="698">
                  <c:v>-8.9858438928744846</c:v>
                </c:pt>
                <c:pt idx="699">
                  <c:v>-8.9994780578337643</c:v>
                </c:pt>
                <c:pt idx="700">
                  <c:v>-9.013112239231079</c:v>
                </c:pt>
                <c:pt idx="701">
                  <c:v>-9.0267464370661212</c:v>
                </c:pt>
                <c:pt idx="702">
                  <c:v>-9.0403806513385874</c:v>
                </c:pt>
                <c:pt idx="703">
                  <c:v>-9.0540148820481701</c:v>
                </c:pt>
                <c:pt idx="704">
                  <c:v>-9.0676491291945638</c:v>
                </c:pt>
                <c:pt idx="705">
                  <c:v>-9.081283392777463</c:v>
                </c:pt>
                <c:pt idx="706">
                  <c:v>-9.0949176727965622</c:v>
                </c:pt>
                <c:pt idx="707">
                  <c:v>-9.108551969251554</c:v>
                </c:pt>
                <c:pt idx="708">
                  <c:v>-9.1221862821421347</c:v>
                </c:pt>
                <c:pt idx="709">
                  <c:v>-9.135820611467997</c:v>
                </c:pt>
                <c:pt idx="710">
                  <c:v>-9.1494549572288353</c:v>
                </c:pt>
                <c:pt idx="711">
                  <c:v>-9.1630893194243441</c:v>
                </c:pt>
                <c:pt idx="712">
                  <c:v>-9.1767236980542179</c:v>
                </c:pt>
                <c:pt idx="713">
                  <c:v>-9.1903580931181494</c:v>
                </c:pt>
                <c:pt idx="714">
                  <c:v>-9.2039925046158348</c:v>
                </c:pt>
                <c:pt idx="715">
                  <c:v>-9.2176269325469669</c:v>
                </c:pt>
                <c:pt idx="716">
                  <c:v>-9.2312613769112399</c:v>
                </c:pt>
                <c:pt idx="717">
                  <c:v>-9.2448958377083486</c:v>
                </c:pt>
                <c:pt idx="718">
                  <c:v>-9.2585303149379872</c:v>
                </c:pt>
                <c:pt idx="719">
                  <c:v>-9.2721648085998503</c:v>
                </c:pt>
                <c:pt idx="720">
                  <c:v>-9.2857993186936323</c:v>
                </c:pt>
                <c:pt idx="721">
                  <c:v>-9.2994338452190259</c:v>
                </c:pt>
                <c:pt idx="722">
                  <c:v>-9.3130683881757275</c:v>
                </c:pt>
                <c:pt idx="723">
                  <c:v>-9.3267029475634295</c:v>
                </c:pt>
                <c:pt idx="724">
                  <c:v>-9.3403375233818267</c:v>
                </c:pt>
                <c:pt idx="725">
                  <c:v>-9.3539721156306133</c:v>
                </c:pt>
                <c:pt idx="726">
                  <c:v>-9.3676067243094838</c:v>
                </c:pt>
                <c:pt idx="727">
                  <c:v>-9.381241349418131</c:v>
                </c:pt>
                <c:pt idx="728">
                  <c:v>-9.3948759909562511</c:v>
                </c:pt>
                <c:pt idx="729">
                  <c:v>-9.4085106489235368</c:v>
                </c:pt>
                <c:pt idx="730">
                  <c:v>-9.4221453233196844</c:v>
                </c:pt>
                <c:pt idx="731">
                  <c:v>-9.4357800141443864</c:v>
                </c:pt>
                <c:pt idx="732">
                  <c:v>-9.4494147213973374</c:v>
                </c:pt>
                <c:pt idx="733">
                  <c:v>-9.4630494450782319</c:v>
                </c:pt>
                <c:pt idx="734">
                  <c:v>-9.4766841851867643</c:v>
                </c:pt>
                <c:pt idx="735">
                  <c:v>-9.4903189417226272</c:v>
                </c:pt>
                <c:pt idx="736">
                  <c:v>-9.5039537146855171</c:v>
                </c:pt>
                <c:pt idx="737">
                  <c:v>-9.5175885040751265</c:v>
                </c:pt>
                <c:pt idx="738">
                  <c:v>-9.5312233098911516</c:v>
                </c:pt>
                <c:pt idx="739">
                  <c:v>-9.5448581321332853</c:v>
                </c:pt>
                <c:pt idx="740">
                  <c:v>-9.5584929708012218</c:v>
                </c:pt>
                <c:pt idx="741">
                  <c:v>-9.5721278258946558</c:v>
                </c:pt>
                <c:pt idx="742">
                  <c:v>-9.5857626974132817</c:v>
                </c:pt>
                <c:pt idx="743">
                  <c:v>-9.5993975853567939</c:v>
                </c:pt>
                <c:pt idx="744">
                  <c:v>-9.6130324897248851</c:v>
                </c:pt>
                <c:pt idx="745">
                  <c:v>-9.6266674105172516</c:v>
                </c:pt>
                <c:pt idx="746">
                  <c:v>-9.6403023477335861</c:v>
                </c:pt>
                <c:pt idx="747">
                  <c:v>-9.6539373013735847</c:v>
                </c:pt>
                <c:pt idx="748">
                  <c:v>-9.6675722714369403</c:v>
                </c:pt>
                <c:pt idx="749">
                  <c:v>-9.6812072579233472</c:v>
                </c:pt>
                <c:pt idx="750">
                  <c:v>-9.6948422608325</c:v>
                </c:pt>
                <c:pt idx="751">
                  <c:v>-9.7084772801640931</c:v>
                </c:pt>
                <c:pt idx="752">
                  <c:v>-9.7221123159178209</c:v>
                </c:pt>
                <c:pt idx="753">
                  <c:v>-9.7357473680933779</c:v>
                </c:pt>
                <c:pt idx="754">
                  <c:v>-9.7493824366904587</c:v>
                </c:pt>
                <c:pt idx="755">
                  <c:v>-9.7630175217087558</c:v>
                </c:pt>
                <c:pt idx="756">
                  <c:v>-9.7766526231479656</c:v>
                </c:pt>
                <c:pt idx="757">
                  <c:v>-9.7902877410077807</c:v>
                </c:pt>
                <c:pt idx="758">
                  <c:v>-9.8039228752878973</c:v>
                </c:pt>
                <c:pt idx="759">
                  <c:v>-9.8175580259880082</c:v>
                </c:pt>
                <c:pt idx="760">
                  <c:v>-9.8311931931078078</c:v>
                </c:pt>
                <c:pt idx="761">
                  <c:v>-9.8448283766469906</c:v>
                </c:pt>
                <c:pt idx="762">
                  <c:v>-9.8584635766052511</c:v>
                </c:pt>
                <c:pt idx="763">
                  <c:v>-9.8720987929822837</c:v>
                </c:pt>
                <c:pt idx="764">
                  <c:v>-9.8857340257777828</c:v>
                </c:pt>
                <c:pt idx="765">
                  <c:v>-9.899369274991443</c:v>
                </c:pt>
                <c:pt idx="766">
                  <c:v>-9.9130045406229588</c:v>
                </c:pt>
                <c:pt idx="767">
                  <c:v>-9.9266398226720227</c:v>
                </c:pt>
                <c:pt idx="768">
                  <c:v>-9.9402751211383311</c:v>
                </c:pt>
                <c:pt idx="769">
                  <c:v>-9.9539104360215767</c:v>
                </c:pt>
                <c:pt idx="770">
                  <c:v>-9.9675457673214556</c:v>
                </c:pt>
                <c:pt idx="771">
                  <c:v>-9.9811811150376606</c:v>
                </c:pt>
                <c:pt idx="772">
                  <c:v>-9.9948164791698861</c:v>
                </c:pt>
                <c:pt idx="773">
                  <c:v>-10.008451859717828</c:v>
                </c:pt>
                <c:pt idx="774">
                  <c:v>-10.02208725668118</c:v>
                </c:pt>
                <c:pt idx="775">
                  <c:v>-10.035722670059636</c:v>
                </c:pt>
                <c:pt idx="776">
                  <c:v>-10.04935809985289</c:v>
                </c:pt>
                <c:pt idx="777">
                  <c:v>-10.062993546060637</c:v>
                </c:pt>
                <c:pt idx="778">
                  <c:v>-10.076629008682572</c:v>
                </c:pt>
                <c:pt idx="779">
                  <c:v>-10.090264487718388</c:v>
                </c:pt>
                <c:pt idx="780">
                  <c:v>-10.10389998316778</c:v>
                </c:pt>
                <c:pt idx="781">
                  <c:v>-10.117535495030442</c:v>
                </c:pt>
                <c:pt idx="782">
                  <c:v>-10.131171023306068</c:v>
                </c:pt>
                <c:pt idx="783">
                  <c:v>-10.144806567994355</c:v>
                </c:pt>
                <c:pt idx="784">
                  <c:v>-10.158442129094993</c:v>
                </c:pt>
                <c:pt idx="785">
                  <c:v>-10.172077706607681</c:v>
                </c:pt>
                <c:pt idx="786">
                  <c:v>-10.185713300532111</c:v>
                </c:pt>
                <c:pt idx="787">
                  <c:v>-10.199348910867977</c:v>
                </c:pt>
                <c:pt idx="788">
                  <c:v>-10.212984537614975</c:v>
                </c:pt>
                <c:pt idx="789">
                  <c:v>-10.226620180772798</c:v>
                </c:pt>
                <c:pt idx="790">
                  <c:v>-10.24025584034114</c:v>
                </c:pt>
                <c:pt idx="791">
                  <c:v>-10.253891516319698</c:v>
                </c:pt>
                <c:pt idx="792">
                  <c:v>-10.267527208708163</c:v>
                </c:pt>
                <c:pt idx="793">
                  <c:v>-10.281162917506231</c:v>
                </c:pt>
                <c:pt idx="794">
                  <c:v>-10.294798642713596</c:v>
                </c:pt>
                <c:pt idx="795">
                  <c:v>-10.308434384329955</c:v>
                </c:pt>
                <c:pt idx="796">
                  <c:v>-10.322070142354999</c:v>
                </c:pt>
                <c:pt idx="797">
                  <c:v>-10.335705916788424</c:v>
                </c:pt>
                <c:pt idx="798">
                  <c:v>-10.349341707629923</c:v>
                </c:pt>
                <c:pt idx="799">
                  <c:v>-10.362977514879192</c:v>
                </c:pt>
                <c:pt idx="800">
                  <c:v>-10.376613338535925</c:v>
                </c:pt>
                <c:pt idx="801">
                  <c:v>-10.390249178599817</c:v>
                </c:pt>
                <c:pt idx="802">
                  <c:v>-10.403885035070561</c:v>
                </c:pt>
                <c:pt idx="803">
                  <c:v>-10.417520907947852</c:v>
                </c:pt>
                <c:pt idx="804">
                  <c:v>-10.431156797231385</c:v>
                </c:pt>
                <c:pt idx="805">
                  <c:v>-10.444792702920854</c:v>
                </c:pt>
                <c:pt idx="806">
                  <c:v>-10.458428625015953</c:v>
                </c:pt>
                <c:pt idx="807">
                  <c:v>-10.472064563516378</c:v>
                </c:pt>
                <c:pt idx="808">
                  <c:v>-10.485700518421822</c:v>
                </c:pt>
                <c:pt idx="809">
                  <c:v>-10.499336489731981</c:v>
                </c:pt>
                <c:pt idx="810">
                  <c:v>-10.512972477446548</c:v>
                </c:pt>
                <c:pt idx="811">
                  <c:v>-10.526608481565217</c:v>
                </c:pt>
                <c:pt idx="812">
                  <c:v>-10.540244502087685</c:v>
                </c:pt>
                <c:pt idx="813">
                  <c:v>-10.553880539013644</c:v>
                </c:pt>
                <c:pt idx="814">
                  <c:v>-10.567516592342788</c:v>
                </c:pt>
                <c:pt idx="815">
                  <c:v>-10.581152662074812</c:v>
                </c:pt>
                <c:pt idx="816">
                  <c:v>-10.594788748209412</c:v>
                </c:pt>
                <c:pt idx="817">
                  <c:v>-10.608424850746282</c:v>
                </c:pt>
                <c:pt idx="818">
                  <c:v>-10.622060969685116</c:v>
                </c:pt>
                <c:pt idx="819">
                  <c:v>-10.635697105025608</c:v>
                </c:pt>
                <c:pt idx="820">
                  <c:v>-10.649333256767454</c:v>
                </c:pt>
                <c:pt idx="821">
                  <c:v>-10.662969424910347</c:v>
                </c:pt>
                <c:pt idx="822">
                  <c:v>-10.676605609453981</c:v>
                </c:pt>
                <c:pt idx="823">
                  <c:v>-10.690241810398051</c:v>
                </c:pt>
                <c:pt idx="824">
                  <c:v>-10.703878027742252</c:v>
                </c:pt>
                <c:pt idx="825">
                  <c:v>-10.717514261486279</c:v>
                </c:pt>
                <c:pt idx="826">
                  <c:v>-10.731150511629826</c:v>
                </c:pt>
                <c:pt idx="827">
                  <c:v>-10.744786778172587</c:v>
                </c:pt>
                <c:pt idx="828">
                  <c:v>-10.758423061114257</c:v>
                </c:pt>
                <c:pt idx="829">
                  <c:v>-10.772059360454531</c:v>
                </c:pt>
                <c:pt idx="830">
                  <c:v>-10.785695676193102</c:v>
                </c:pt>
                <c:pt idx="831">
                  <c:v>-10.799332008329666</c:v>
                </c:pt>
                <c:pt idx="832">
                  <c:v>-10.812968356863916</c:v>
                </c:pt>
                <c:pt idx="833">
                  <c:v>-10.826604721795547</c:v>
                </c:pt>
                <c:pt idx="834">
                  <c:v>-10.840241103124255</c:v>
                </c:pt>
                <c:pt idx="835">
                  <c:v>-10.853877500849732</c:v>
                </c:pt>
                <c:pt idx="836">
                  <c:v>-10.867513914971674</c:v>
                </c:pt>
                <c:pt idx="837">
                  <c:v>-10.881150345489777</c:v>
                </c:pt>
                <c:pt idx="838">
                  <c:v>-10.894786792403734</c:v>
                </c:pt>
                <c:pt idx="839">
                  <c:v>-10.908423255713238</c:v>
                </c:pt>
                <c:pt idx="840">
                  <c:v>-10.922059735417985</c:v>
                </c:pt>
                <c:pt idx="841">
                  <c:v>-10.935696231517671</c:v>
                </c:pt>
                <c:pt idx="842">
                  <c:v>-10.949332744011988</c:v>
                </c:pt>
                <c:pt idx="843">
                  <c:v>-10.962969272900631</c:v>
                </c:pt>
                <c:pt idx="844">
                  <c:v>-10.976605818183296</c:v>
                </c:pt>
                <c:pt idx="845">
                  <c:v>-10.990242379859676</c:v>
                </c:pt>
                <c:pt idx="846">
                  <c:v>-11.003878957929468</c:v>
                </c:pt>
                <c:pt idx="847">
                  <c:v>-11.017515552392362</c:v>
                </c:pt>
                <c:pt idx="848">
                  <c:v>-11.031152163248057</c:v>
                </c:pt>
                <c:pt idx="849">
                  <c:v>-11.044788790496247</c:v>
                </c:pt>
                <c:pt idx="850">
                  <c:v>-11.058425434136623</c:v>
                </c:pt>
                <c:pt idx="851">
                  <c:v>-11.072062094168883</c:v>
                </c:pt>
                <c:pt idx="852">
                  <c:v>-11.085698770592721</c:v>
                </c:pt>
                <c:pt idx="853">
                  <c:v>-11.099335463407831</c:v>
                </c:pt>
                <c:pt idx="854">
                  <c:v>-11.112972172613906</c:v>
                </c:pt>
                <c:pt idx="855">
                  <c:v>-11.126608898210643</c:v>
                </c:pt>
                <c:pt idx="856">
                  <c:v>-11.140245640197735</c:v>
                </c:pt>
                <c:pt idx="857">
                  <c:v>-11.153882398574879</c:v>
                </c:pt>
                <c:pt idx="858">
                  <c:v>-11.167519173341768</c:v>
                </c:pt>
                <c:pt idx="859">
                  <c:v>-11.181155964498096</c:v>
                </c:pt>
                <c:pt idx="860">
                  <c:v>-11.194792772043558</c:v>
                </c:pt>
                <c:pt idx="861">
                  <c:v>-11.208429595977847</c:v>
                </c:pt>
                <c:pt idx="862">
                  <c:v>-11.222066436300661</c:v>
                </c:pt>
                <c:pt idx="863">
                  <c:v>-11.235703293011692</c:v>
                </c:pt>
                <c:pt idx="864">
                  <c:v>-11.249340166110636</c:v>
                </c:pt>
                <c:pt idx="865">
                  <c:v>-11.262977055597187</c:v>
                </c:pt>
                <c:pt idx="866">
                  <c:v>-11.276613961471039</c:v>
                </c:pt>
                <c:pt idx="867">
                  <c:v>-11.290250883731888</c:v>
                </c:pt>
                <c:pt idx="868">
                  <c:v>-11.303887822379426</c:v>
                </c:pt>
                <c:pt idx="869">
                  <c:v>-11.31752477741335</c:v>
                </c:pt>
                <c:pt idx="870">
                  <c:v>-11.331161748833354</c:v>
                </c:pt>
                <c:pt idx="871">
                  <c:v>-11.344798736639133</c:v>
                </c:pt>
                <c:pt idx="872">
                  <c:v>-11.35843574083038</c:v>
                </c:pt>
                <c:pt idx="873">
                  <c:v>-11.372072761406793</c:v>
                </c:pt>
                <c:pt idx="874">
                  <c:v>-11.385709798368064</c:v>
                </c:pt>
                <c:pt idx="875">
                  <c:v>-11.399346851713887</c:v>
                </c:pt>
                <c:pt idx="876">
                  <c:v>-11.412983921443958</c:v>
                </c:pt>
                <c:pt idx="877">
                  <c:v>-11.426621007557971</c:v>
                </c:pt>
                <c:pt idx="878">
                  <c:v>-11.440258110055622</c:v>
                </c:pt>
                <c:pt idx="879">
                  <c:v>-11.453895228936604</c:v>
                </c:pt>
                <c:pt idx="880">
                  <c:v>-11.467532364200611</c:v>
                </c:pt>
                <c:pt idx="881">
                  <c:v>-11.481169515847339</c:v>
                </c:pt>
                <c:pt idx="882">
                  <c:v>-11.494806683876483</c:v>
                </c:pt>
                <c:pt idx="883">
                  <c:v>-11.508443868287737</c:v>
                </c:pt>
                <c:pt idx="884">
                  <c:v>-11.522081069080796</c:v>
                </c:pt>
                <c:pt idx="885">
                  <c:v>-11.535718286255355</c:v>
                </c:pt>
                <c:pt idx="886">
                  <c:v>-11.549355519811106</c:v>
                </c:pt>
                <c:pt idx="887">
                  <c:v>-11.562992769747748</c:v>
                </c:pt>
                <c:pt idx="888">
                  <c:v>-11.576630036064971</c:v>
                </c:pt>
                <c:pt idx="889">
                  <c:v>-11.590267318762473</c:v>
                </c:pt>
                <c:pt idx="890">
                  <c:v>-11.603904617839948</c:v>
                </c:pt>
                <c:pt idx="891">
                  <c:v>-11.61754193329709</c:v>
                </c:pt>
                <c:pt idx="892">
                  <c:v>-11.631179265133595</c:v>
                </c:pt>
                <c:pt idx="893">
                  <c:v>-11.644816613349155</c:v>
                </c:pt>
                <c:pt idx="894">
                  <c:v>-11.658453977943466</c:v>
                </c:pt>
                <c:pt idx="895">
                  <c:v>-11.672091358916223</c:v>
                </c:pt>
                <c:pt idx="896">
                  <c:v>-11.685728756267121</c:v>
                </c:pt>
                <c:pt idx="897">
                  <c:v>-11.699366169995855</c:v>
                </c:pt>
                <c:pt idx="898">
                  <c:v>-11.713003600102118</c:v>
                </c:pt>
                <c:pt idx="899">
                  <c:v>-11.726641046585605</c:v>
                </c:pt>
                <c:pt idx="900">
                  <c:v>-11.740278509446012</c:v>
                </c:pt>
                <c:pt idx="901">
                  <c:v>-11.753915988683033</c:v>
                </c:pt>
                <c:pt idx="902">
                  <c:v>-11.767553484296362</c:v>
                </c:pt>
                <c:pt idx="903">
                  <c:v>-11.781190996285696</c:v>
                </c:pt>
                <c:pt idx="904">
                  <c:v>-11.794828524650727</c:v>
                </c:pt>
                <c:pt idx="905">
                  <c:v>-11.808466069391152</c:v>
                </c:pt>
                <c:pt idx="906">
                  <c:v>-11.822103630506662</c:v>
                </c:pt>
                <c:pt idx="907">
                  <c:v>-11.835741207996955</c:v>
                </c:pt>
                <c:pt idx="908">
                  <c:v>-11.849378801861725</c:v>
                </c:pt>
                <c:pt idx="909">
                  <c:v>-11.863016412100666</c:v>
                </c:pt>
                <c:pt idx="910">
                  <c:v>-11.876654038713474</c:v>
                </c:pt>
                <c:pt idx="911">
                  <c:v>-11.890291681699843</c:v>
                </c:pt>
                <c:pt idx="912">
                  <c:v>-11.903929341059467</c:v>
                </c:pt>
                <c:pt idx="913">
                  <c:v>-11.917567016792042</c:v>
                </c:pt>
                <c:pt idx="914">
                  <c:v>-11.931204708897262</c:v>
                </c:pt>
                <c:pt idx="915">
                  <c:v>-11.944842417374822</c:v>
                </c:pt>
                <c:pt idx="916">
                  <c:v>-11.958480142224417</c:v>
                </c:pt>
                <c:pt idx="917">
                  <c:v>-11.97211788344574</c:v>
                </c:pt>
                <c:pt idx="918">
                  <c:v>-11.985755641038487</c:v>
                </c:pt>
                <c:pt idx="919">
                  <c:v>-11.999393415002354</c:v>
                </c:pt>
                <c:pt idx="920">
                  <c:v>-12.013031205337034</c:v>
                </c:pt>
                <c:pt idx="921">
                  <c:v>-12.026669012042221</c:v>
                </c:pt>
                <c:pt idx="922">
                  <c:v>-12.040306835117612</c:v>
                </c:pt>
                <c:pt idx="923">
                  <c:v>-12.053944674562899</c:v>
                </c:pt>
                <c:pt idx="924">
                  <c:v>-12.067582530377781</c:v>
                </c:pt>
                <c:pt idx="925">
                  <c:v>-12.081220402561948</c:v>
                </c:pt>
                <c:pt idx="926">
                  <c:v>-12.094858291115099</c:v>
                </c:pt>
                <c:pt idx="927">
                  <c:v>-12.108496196036924</c:v>
                </c:pt>
                <c:pt idx="928">
                  <c:v>-12.122134117327121</c:v>
                </c:pt>
                <c:pt idx="929">
                  <c:v>-12.135772054985384</c:v>
                </c:pt>
                <c:pt idx="930">
                  <c:v>-12.14941000901141</c:v>
                </c:pt>
                <c:pt idx="931">
                  <c:v>-12.16304797940489</c:v>
                </c:pt>
                <c:pt idx="932">
                  <c:v>-12.176685966165522</c:v>
                </c:pt>
                <c:pt idx="933">
                  <c:v>-12.190323969292997</c:v>
                </c:pt>
                <c:pt idx="934">
                  <c:v>-12.203961988787013</c:v>
                </c:pt>
                <c:pt idx="935">
                  <c:v>-12.217600024647263</c:v>
                </c:pt>
                <c:pt idx="936">
                  <c:v>-12.231238076873444</c:v>
                </c:pt>
                <c:pt idx="937">
                  <c:v>-12.244876145465248</c:v>
                </c:pt>
                <c:pt idx="938">
                  <c:v>-12.258514230422373</c:v>
                </c:pt>
                <c:pt idx="939">
                  <c:v>-12.272152331744511</c:v>
                </c:pt>
                <c:pt idx="940">
                  <c:v>-12.285790449431358</c:v>
                </c:pt>
                <c:pt idx="941">
                  <c:v>-12.299428583482609</c:v>
                </c:pt>
                <c:pt idx="942">
                  <c:v>-12.313066733897957</c:v>
                </c:pt>
                <c:pt idx="943">
                  <c:v>-12.326704900677099</c:v>
                </c:pt>
                <c:pt idx="944">
                  <c:v>-12.340343083819727</c:v>
                </c:pt>
                <c:pt idx="945">
                  <c:v>-12.353981283325538</c:v>
                </c:pt>
                <c:pt idx="946">
                  <c:v>-12.367619499194227</c:v>
                </c:pt>
                <c:pt idx="947">
                  <c:v>-12.381257731425487</c:v>
                </c:pt>
                <c:pt idx="948">
                  <c:v>-12.394895980019015</c:v>
                </c:pt>
                <c:pt idx="949">
                  <c:v>-12.408534244974506</c:v>
                </c:pt>
                <c:pt idx="950">
                  <c:v>-12.422172526291652</c:v>
                </c:pt>
                <c:pt idx="951">
                  <c:v>-12.435810823970149</c:v>
                </c:pt>
                <c:pt idx="952">
                  <c:v>-12.449449138009694</c:v>
                </c:pt>
                <c:pt idx="953">
                  <c:v>-12.463087468409979</c:v>
                </c:pt>
                <c:pt idx="954">
                  <c:v>-12.476725815170701</c:v>
                </c:pt>
                <c:pt idx="955">
                  <c:v>-12.490364178291554</c:v>
                </c:pt>
                <c:pt idx="956">
                  <c:v>-12.504002557772232</c:v>
                </c:pt>
                <c:pt idx="957">
                  <c:v>-12.51764095361243</c:v>
                </c:pt>
                <c:pt idx="958">
                  <c:v>-12.531279365811843</c:v>
                </c:pt>
                <c:pt idx="959">
                  <c:v>-12.544917794370166</c:v>
                </c:pt>
                <c:pt idx="960">
                  <c:v>-12.558556239287094</c:v>
                </c:pt>
                <c:pt idx="961">
                  <c:v>-12.572194700562322</c:v>
                </c:pt>
                <c:pt idx="962">
                  <c:v>-12.585833178195545</c:v>
                </c:pt>
                <c:pt idx="963">
                  <c:v>-12.599471672186457</c:v>
                </c:pt>
                <c:pt idx="964">
                  <c:v>-12.613110182534752</c:v>
                </c:pt>
                <c:pt idx="965">
                  <c:v>-12.626748709240127</c:v>
                </c:pt>
                <c:pt idx="966">
                  <c:v>-12.640387252302276</c:v>
                </c:pt>
                <c:pt idx="967">
                  <c:v>-12.654025811720894</c:v>
                </c:pt>
                <c:pt idx="968">
                  <c:v>-12.667664387495675</c:v>
                </c:pt>
                <c:pt idx="969">
                  <c:v>-12.681302979626315</c:v>
                </c:pt>
                <c:pt idx="970">
                  <c:v>-12.694941588112508</c:v>
                </c:pt>
                <c:pt idx="971">
                  <c:v>-12.708580212953949</c:v>
                </c:pt>
                <c:pt idx="972">
                  <c:v>-12.722218854150334</c:v>
                </c:pt>
                <c:pt idx="973">
                  <c:v>-12.735857511701356</c:v>
                </c:pt>
                <c:pt idx="974">
                  <c:v>-12.749496185606711</c:v>
                </c:pt>
                <c:pt idx="975">
                  <c:v>-12.763134875866093</c:v>
                </c:pt>
                <c:pt idx="976">
                  <c:v>-12.776773582479199</c:v>
                </c:pt>
                <c:pt idx="977">
                  <c:v>-12.790412305445722</c:v>
                </c:pt>
                <c:pt idx="978">
                  <c:v>-12.804051044765357</c:v>
                </c:pt>
                <c:pt idx="979">
                  <c:v>-12.817689800437799</c:v>
                </c:pt>
                <c:pt idx="980">
                  <c:v>-12.831328572462745</c:v>
                </c:pt>
                <c:pt idx="981">
                  <c:v>-12.844967360839886</c:v>
                </c:pt>
                <c:pt idx="982">
                  <c:v>-12.85860616556892</c:v>
                </c:pt>
                <c:pt idx="983">
                  <c:v>-12.872244986649541</c:v>
                </c:pt>
                <c:pt idx="984">
                  <c:v>-12.885883824081443</c:v>
                </c:pt>
                <c:pt idx="985">
                  <c:v>-12.899522677864322</c:v>
                </c:pt>
                <c:pt idx="986">
                  <c:v>-12.913161547997873</c:v>
                </c:pt>
                <c:pt idx="987">
                  <c:v>-12.926800434481791</c:v>
                </c:pt>
                <c:pt idx="988">
                  <c:v>-12.94043933731577</c:v>
                </c:pt>
                <c:pt idx="989">
                  <c:v>-12.954078256499503</c:v>
                </c:pt>
                <c:pt idx="990">
                  <c:v>-12.967717192032689</c:v>
                </c:pt>
                <c:pt idx="991">
                  <c:v>-12.98135614391502</c:v>
                </c:pt>
                <c:pt idx="992">
                  <c:v>-12.994995112146194</c:v>
                </c:pt>
                <c:pt idx="993">
                  <c:v>-13.008634096725903</c:v>
                </c:pt>
                <c:pt idx="994">
                  <c:v>-13.022273097653843</c:v>
                </c:pt>
                <c:pt idx="995">
                  <c:v>-13.035912114929708</c:v>
                </c:pt>
                <c:pt idx="996">
                  <c:v>-13.049551148553194</c:v>
                </c:pt>
                <c:pt idx="997">
                  <c:v>-13.063190198523996</c:v>
                </c:pt>
                <c:pt idx="998">
                  <c:v>-13.076829264841809</c:v>
                </c:pt>
                <c:pt idx="999">
                  <c:v>-13.090468347506327</c:v>
                </c:pt>
                <c:pt idx="1000">
                  <c:v>-13.104107446517245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4CA2-BA56-E0E46E48A26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111.04</c:v>
                </c:pt>
                <c:pt idx="1">
                  <c:v>111.2565849077789</c:v>
                </c:pt>
                <c:pt idx="2">
                  <c:v>111.47355039057123</c:v>
                </c:pt>
                <c:pt idx="3">
                  <c:v>111.69124665032949</c:v>
                </c:pt>
                <c:pt idx="4">
                  <c:v>111.90973795019553</c:v>
                </c:pt>
                <c:pt idx="5">
                  <c:v>112.1289643045625</c:v>
                </c:pt>
                <c:pt idx="6">
                  <c:v>112.34890352377653</c:v>
                </c:pt>
                <c:pt idx="7">
                  <c:v>112.56955233403268</c:v>
                </c:pt>
                <c:pt idx="8">
                  <c:v>112.79090745503885</c:v>
                </c:pt>
                <c:pt idx="9">
                  <c:v>113.01296560008456</c:v>
                </c:pt>
                <c:pt idx="10">
                  <c:v>113.23572347610924</c:v>
                </c:pt>
                <c:pt idx="11">
                  <c:v>113.45917778377009</c:v>
                </c:pt>
                <c:pt idx="12">
                  <c:v>113.68332521750925</c:v>
                </c:pt>
                <c:pt idx="13">
                  <c:v>113.90816246562068</c:v>
                </c:pt>
                <c:pt idx="14">
                  <c:v>114.13368621031638</c:v>
                </c:pt>
                <c:pt idx="15">
                  <c:v>114.35989312779226</c:v>
                </c:pt>
                <c:pt idx="16">
                  <c:v>114.58677988829336</c:v>
                </c:pt>
                <c:pt idx="17">
                  <c:v>114.81434315617874</c:v>
                </c:pt>
                <c:pt idx="18">
                  <c:v>115.04257958998575</c:v>
                </c:pt>
                <c:pt idx="19">
                  <c:v>115.27148584249395</c:v>
                </c:pt>
                <c:pt idx="20">
                  <c:v>115.50105856078842</c:v>
                </c:pt>
                <c:pt idx="21">
                  <c:v>115.73129438632274</c:v>
                </c:pt>
                <c:pt idx="22">
                  <c:v>115.96218995498134</c:v>
                </c:pt>
                <c:pt idx="23">
                  <c:v>116.19374189714146</c:v>
                </c:pt>
                <c:pt idx="24">
                  <c:v>116.42594683773473</c:v>
                </c:pt>
                <c:pt idx="25">
                  <c:v>116.65880139630808</c:v>
                </c:pt>
                <c:pt idx="26">
                  <c:v>116.89230218708437</c:v>
                </c:pt>
                <c:pt idx="27">
                  <c:v>117.12644581902248</c:v>
                </c:pt>
                <c:pt idx="28">
                  <c:v>117.36122889587696</c:v>
                </c:pt>
                <c:pt idx="29">
                  <c:v>117.59664801625721</c:v>
                </c:pt>
                <c:pt idx="30">
                  <c:v>117.83269977368619</c:v>
                </c:pt>
                <c:pt idx="31">
                  <c:v>118.06938075665877</c:v>
                </c:pt>
                <c:pt idx="32">
                  <c:v>118.30668754869954</c:v>
                </c:pt>
                <c:pt idx="33">
                  <c:v>118.54461672842017</c:v>
                </c:pt>
                <c:pt idx="34">
                  <c:v>118.7831648695764</c:v>
                </c:pt>
                <c:pt idx="35">
                  <c:v>119.02232854112451</c:v>
                </c:pt>
                <c:pt idx="36">
                  <c:v>119.26210430727741</c:v>
                </c:pt>
                <c:pt idx="37">
                  <c:v>119.50248872756029</c:v>
                </c:pt>
                <c:pt idx="38">
                  <c:v>119.74347835686574</c:v>
                </c:pt>
                <c:pt idx="39">
                  <c:v>119.98506974550855</c:v>
                </c:pt>
                <c:pt idx="40">
                  <c:v>120.22725943928006</c:v>
                </c:pt>
                <c:pt idx="41">
                  <c:v>120.47004397950198</c:v>
                </c:pt>
                <c:pt idx="42">
                  <c:v>120.71341990307992</c:v>
                </c:pt>
                <c:pt idx="43">
                  <c:v>120.95738374255642</c:v>
                </c:pt>
                <c:pt idx="44">
                  <c:v>121.20193202616349</c:v>
                </c:pt>
                <c:pt idx="45">
                  <c:v>121.44706127787488</c:v>
                </c:pt>
                <c:pt idx="46">
                  <c:v>121.69276801745782</c:v>
                </c:pt>
                <c:pt idx="47">
                  <c:v>121.93904876052434</c:v>
                </c:pt>
                <c:pt idx="48">
                  <c:v>122.18590001858223</c:v>
                </c:pt>
                <c:pt idx="49">
                  <c:v>122.43331829908551</c:v>
                </c:pt>
                <c:pt idx="50">
                  <c:v>122.68130010548457</c:v>
                </c:pt>
                <c:pt idx="51">
                  <c:v>122.92984193727578</c:v>
                </c:pt>
                <c:pt idx="52">
                  <c:v>123.17894029005085</c:v>
                </c:pt>
                <c:pt idx="53">
                  <c:v>123.42859165554557</c:v>
                </c:pt>
                <c:pt idx="54">
                  <c:v>123.67879252168837</c:v>
                </c:pt>
                <c:pt idx="55">
                  <c:v>123.92953937264824</c:v>
                </c:pt>
                <c:pt idx="56">
                  <c:v>124.18082868888244</c:v>
                </c:pt>
                <c:pt idx="57">
                  <c:v>124.43265694718373</c:v>
                </c:pt>
                <c:pt idx="58">
                  <c:v>124.68502062072712</c:v>
                </c:pt>
                <c:pt idx="59">
                  <c:v>124.93791617911631</c:v>
                </c:pt>
                <c:pt idx="60">
                  <c:v>125.19134008842975</c:v>
                </c:pt>
                <c:pt idx="61">
                  <c:v>125.4452888112662</c:v>
                </c:pt>
                <c:pt idx="62">
                  <c:v>125.69975880678993</c:v>
                </c:pt>
                <c:pt idx="63">
                  <c:v>125.95474482244197</c:v>
                </c:pt>
                <c:pt idx="64">
                  <c:v>126.21023818304089</c:v>
                </c:pt>
                <c:pt idx="65">
                  <c:v>126.46622849689538</c:v>
                </c:pt>
                <c:pt idx="66">
                  <c:v>126.72270536459675</c:v>
                </c:pt>
                <c:pt idx="67">
                  <c:v>126.97965680946224</c:v>
                </c:pt>
                <c:pt idx="68">
                  <c:v>127.23706770571232</c:v>
                </c:pt>
                <c:pt idx="69">
                  <c:v>127.49491855129882</c:v>
                </c:pt>
                <c:pt idx="70">
                  <c:v>127.75318423926404</c:v>
                </c:pt>
                <c:pt idx="71">
                  <c:v>128.01183685041022</c:v>
                </c:pt>
                <c:pt idx="72">
                  <c:v>128.27084845004725</c:v>
                </c:pt>
                <c:pt idx="73">
                  <c:v>128.530191088854</c:v>
                </c:pt>
                <c:pt idx="74">
                  <c:v>128.7898368037209</c:v>
                </c:pt>
                <c:pt idx="75">
                  <c:v>129.04975761857406</c:v>
                </c:pt>
                <c:pt idx="76">
                  <c:v>129.30992554518065</c:v>
                </c:pt>
                <c:pt idx="77">
                  <c:v>129.57031258393567</c:v>
                </c:pt>
                <c:pt idx="78">
                  <c:v>129.83089072463011</c:v>
                </c:pt>
                <c:pt idx="79">
                  <c:v>130.09163194720037</c:v>
                </c:pt>
                <c:pt idx="80">
                  <c:v>130.35250822245899</c:v>
                </c:pt>
                <c:pt idx="81">
                  <c:v>130.61349486239817</c:v>
                </c:pt>
                <c:pt idx="82">
                  <c:v>130.87457387364555</c:v>
                </c:pt>
                <c:pt idx="83">
                  <c:v>131.13573060998368</c:v>
                </c:pt>
                <c:pt idx="84">
                  <c:v>131.3969504214387</c:v>
                </c:pt>
                <c:pt idx="85">
                  <c:v>131.65821865444246</c:v>
                </c:pt>
                <c:pt idx="86">
                  <c:v>131.91952065198947</c:v>
                </c:pt>
                <c:pt idx="87">
                  <c:v>132.18084175378874</c:v>
                </c:pt>
                <c:pt idx="88">
                  <c:v>132.44216729641039</c:v>
                </c:pt>
                <c:pt idx="89">
                  <c:v>132.70348367708954</c:v>
                </c:pt>
                <c:pt idx="90">
                  <c:v>132.96477941841809</c:v>
                </c:pt>
                <c:pt idx="91">
                  <c:v>133.22604410512909</c:v>
                </c:pt>
                <c:pt idx="92">
                  <c:v>133.48726731994566</c:v>
                </c:pt>
                <c:pt idx="93">
                  <c:v>133.74843891026291</c:v>
                </c:pt>
                <c:pt idx="94">
                  <c:v>134.00954925504237</c:v>
                </c:pt>
                <c:pt idx="95">
                  <c:v>134.27058899828779</c:v>
                </c:pt>
                <c:pt idx="96">
                  <c:v>134.53154878229716</c:v>
                </c:pt>
                <c:pt idx="97">
                  <c:v>134.79242031706869</c:v>
                </c:pt>
                <c:pt idx="98">
                  <c:v>135.05319745053777</c:v>
                </c:pt>
                <c:pt idx="99">
                  <c:v>135.31387509945688</c:v>
                </c:pt>
                <c:pt idx="100">
                  <c:v>135.57444817942658</c:v>
                </c:pt>
                <c:pt idx="101">
                  <c:v>135.83491160488575</c:v>
                </c:pt>
                <c:pt idx="102">
                  <c:v>136.09526028910099</c:v>
                </c:pt>
                <c:pt idx="103">
                  <c:v>136.35548914415568</c:v>
                </c:pt>
                <c:pt idx="104">
                  <c:v>136.61559308093814</c:v>
                </c:pt>
                <c:pt idx="105">
                  <c:v>136.87556700912927</c:v>
                </c:pt>
                <c:pt idx="106">
                  <c:v>137.13540583718961</c:v>
                </c:pt>
                <c:pt idx="107">
                  <c:v>137.39510447234565</c:v>
                </c:pt>
                <c:pt idx="108">
                  <c:v>137.65465782057552</c:v>
                </c:pt>
                <c:pt idx="109">
                  <c:v>137.91406213391431</c:v>
                </c:pt>
                <c:pt idx="110">
                  <c:v>138.17331635878222</c:v>
                </c:pt>
                <c:pt idx="111">
                  <c:v>138.43242078893826</c:v>
                </c:pt>
                <c:pt idx="112">
                  <c:v>138.69137571741979</c:v>
                </c:pt>
                <c:pt idx="113">
                  <c:v>138.95018143654502</c:v>
                </c:pt>
                <c:pt idx="114">
                  <c:v>139.2088382379155</c:v>
                </c:pt>
                <c:pt idx="115">
                  <c:v>139.46734641241864</c:v>
                </c:pt>
                <c:pt idx="116">
                  <c:v>139.72570625023019</c:v>
                </c:pt>
                <c:pt idx="117">
                  <c:v>139.98391804081669</c:v>
                </c:pt>
                <c:pt idx="118">
                  <c:v>140.24198207293796</c:v>
                </c:pt>
                <c:pt idx="119">
                  <c:v>140.49989863464953</c:v>
                </c:pt>
                <c:pt idx="120">
                  <c:v>140.75766801330514</c:v>
                </c:pt>
                <c:pt idx="121">
                  <c:v>141.01529049555913</c:v>
                </c:pt>
                <c:pt idx="122">
                  <c:v>141.27276636736886</c:v>
                </c:pt>
                <c:pt idx="123">
                  <c:v>141.53009591399709</c:v>
                </c:pt>
                <c:pt idx="124">
                  <c:v>141.78727942001447</c:v>
                </c:pt>
                <c:pt idx="125">
                  <c:v>142.04431716930188</c:v>
                </c:pt>
                <c:pt idx="126">
                  <c:v>142.30120944505279</c:v>
                </c:pt>
                <c:pt idx="127">
                  <c:v>142.55795652977568</c:v>
                </c:pt>
                <c:pt idx="128">
                  <c:v>142.81455870529635</c:v>
                </c:pt>
                <c:pt idx="129">
                  <c:v>143.07101625276033</c:v>
                </c:pt>
                <c:pt idx="130">
                  <c:v>143.32732945263515</c:v>
                </c:pt>
                <c:pt idx="131">
                  <c:v>143.58349858471274</c:v>
                </c:pt>
                <c:pt idx="132">
                  <c:v>143.8395239281117</c:v>
                </c:pt>
                <c:pt idx="133">
                  <c:v>144.09540576127964</c:v>
                </c:pt>
                <c:pt idx="134">
                  <c:v>144.35114436199544</c:v>
                </c:pt>
                <c:pt idx="135">
                  <c:v>144.60674000737166</c:v>
                </c:pt>
                <c:pt idx="136">
                  <c:v>144.86219297385665</c:v>
                </c:pt>
                <c:pt idx="137">
                  <c:v>145.11750353723693</c:v>
                </c:pt>
                <c:pt idx="138">
                  <c:v>145.37267197263947</c:v>
                </c:pt>
                <c:pt idx="139">
                  <c:v>145.62769855453385</c:v>
                </c:pt>
                <c:pt idx="140">
                  <c:v>145.88258355673457</c:v>
                </c:pt>
                <c:pt idx="141">
                  <c:v>146.13732725240331</c:v>
                </c:pt>
                <c:pt idx="142">
                  <c:v>146.39192991405105</c:v>
                </c:pt>
                <c:pt idx="143">
                  <c:v>146.64639181354042</c:v>
                </c:pt>
                <c:pt idx="144">
                  <c:v>146.90071322208777</c:v>
                </c:pt>
                <c:pt idx="145">
                  <c:v>147.15489441026548</c:v>
                </c:pt>
                <c:pt idx="146">
                  <c:v>147.4089356480041</c:v>
                </c:pt>
                <c:pt idx="147">
                  <c:v>147.66283720459452</c:v>
                </c:pt>
                <c:pt idx="148">
                  <c:v>147.91659934869011</c:v>
                </c:pt>
                <c:pt idx="149">
                  <c:v>148.17022234830898</c:v>
                </c:pt>
                <c:pt idx="150">
                  <c:v>148.42370647083604</c:v>
                </c:pt>
                <c:pt idx="151">
                  <c:v>148.67705198302514</c:v>
                </c:pt>
                <c:pt idx="152">
                  <c:v>148.93025915100128</c:v>
                </c:pt>
                <c:pt idx="153">
                  <c:v>149.18332824026268</c:v>
                </c:pt>
                <c:pt idx="154">
                  <c:v>149.43625951568291</c:v>
                </c:pt>
                <c:pt idx="155">
                  <c:v>149.68905324151294</c:v>
                </c:pt>
                <c:pt idx="156">
                  <c:v>149.94170968138332</c:v>
                </c:pt>
                <c:pt idx="157">
                  <c:v>150.19422909830624</c:v>
                </c:pt>
                <c:pt idx="158">
                  <c:v>150.4466117546776</c:v>
                </c:pt>
                <c:pt idx="159">
                  <c:v>150.69885791227912</c:v>
                </c:pt>
                <c:pt idx="160">
                  <c:v>150.9509678322803</c:v>
                </c:pt>
                <c:pt idx="161">
                  <c:v>151.20294177524059</c:v>
                </c:pt>
                <c:pt idx="162">
                  <c:v>151.4547800011114</c:v>
                </c:pt>
                <c:pt idx="163">
                  <c:v>151.70648276923811</c:v>
                </c:pt>
                <c:pt idx="164">
                  <c:v>151.95805033836209</c:v>
                </c:pt>
                <c:pt idx="165">
                  <c:v>152.20948296662277</c:v>
                </c:pt>
                <c:pt idx="166">
                  <c:v>152.46078091155968</c:v>
                </c:pt>
                <c:pt idx="167">
                  <c:v>152.71194443011433</c:v>
                </c:pt>
                <c:pt idx="168">
                  <c:v>152.96297377863229</c:v>
                </c:pt>
                <c:pt idx="169">
                  <c:v>153.21386921286521</c:v>
                </c:pt>
                <c:pt idx="170">
                  <c:v>153.4646309879727</c:v>
                </c:pt>
                <c:pt idx="171">
                  <c:v>153.71525935852441</c:v>
                </c:pt>
                <c:pt idx="172">
                  <c:v>153.9657545785019</c:v>
                </c:pt>
                <c:pt idx="173">
                  <c:v>154.21611690130067</c:v>
                </c:pt>
                <c:pt idx="174">
                  <c:v>154.46634657973203</c:v>
                </c:pt>
                <c:pt idx="175">
                  <c:v>154.71644386602512</c:v>
                </c:pt>
                <c:pt idx="176">
                  <c:v>154.96640901182874</c:v>
                </c:pt>
                <c:pt idx="177">
                  <c:v>155.21624226821342</c:v>
                </c:pt>
                <c:pt idx="178">
                  <c:v>155.4659438856732</c:v>
                </c:pt>
                <c:pt idx="179">
                  <c:v>155.71551411412759</c:v>
                </c:pt>
                <c:pt idx="180">
                  <c:v>155.96495320292345</c:v>
                </c:pt>
                <c:pt idx="181">
                  <c:v>156.21426140083696</c:v>
                </c:pt>
                <c:pt idx="182">
                  <c:v>156.46343895607538</c:v>
                </c:pt>
                <c:pt idx="183">
                  <c:v>156.712486116279</c:v>
                </c:pt>
                <c:pt idx="184">
                  <c:v>156.96140312852302</c:v>
                </c:pt>
                <c:pt idx="185">
                  <c:v>157.21019023931939</c:v>
                </c:pt>
                <c:pt idx="186">
                  <c:v>157.45884769461867</c:v>
                </c:pt>
                <c:pt idx="187">
                  <c:v>157.70737573981182</c:v>
                </c:pt>
                <c:pt idx="188">
                  <c:v>157.95577461973215</c:v>
                </c:pt>
                <c:pt idx="189">
                  <c:v>158.20404457865703</c:v>
                </c:pt>
                <c:pt idx="190">
                  <c:v>158.45218586030984</c:v>
                </c:pt>
                <c:pt idx="191">
                  <c:v>158.70019870786166</c:v>
                </c:pt>
                <c:pt idx="192">
                  <c:v>158.94808336393316</c:v>
                </c:pt>
                <c:pt idx="193">
                  <c:v>159.1958400705964</c:v>
                </c:pt>
                <c:pt idx="194">
                  <c:v>159.44346906937659</c:v>
                </c:pt>
                <c:pt idx="195">
                  <c:v>159.69097060125389</c:v>
                </c:pt>
                <c:pt idx="196">
                  <c:v>159.93834490666521</c:v>
                </c:pt>
                <c:pt idx="197">
                  <c:v>160.1855922255059</c:v>
                </c:pt>
                <c:pt idx="198">
                  <c:v>160.43271279713167</c:v>
                </c:pt>
                <c:pt idx="199">
                  <c:v>160.67970686036023</c:v>
                </c:pt>
                <c:pt idx="200">
                  <c:v>160.92657465347307</c:v>
                </c:pt>
                <c:pt idx="201">
                  <c:v>163.38832614762683</c:v>
                </c:pt>
                <c:pt idx="202">
                  <c:v>165.83760420987562</c:v>
                </c:pt>
                <c:pt idx="203">
                  <c:v>168.27464209296832</c:v>
                </c:pt>
                <c:pt idx="204">
                  <c:v>170.69966791465134</c:v>
                </c:pt>
                <c:pt idx="205">
                  <c:v>173.11290482106256</c:v>
                </c:pt>
                <c:pt idx="206">
                  <c:v>175.51457114376782</c:v>
                </c:pt>
                <c:pt idx="207">
                  <c:v>177.90488055073661</c:v>
                </c:pt>
                <c:pt idx="208">
                  <c:v>180.28404219153688</c:v>
                </c:pt>
                <c:pt idx="209">
                  <c:v>182.6522608370143</c:v>
                </c:pt>
                <c:pt idx="210">
                  <c:v>185.00973701370617</c:v>
                </c:pt>
                <c:pt idx="211">
                  <c:v>187.35666713322786</c:v>
                </c:pt>
                <c:pt idx="212">
                  <c:v>189.69324361685625</c:v>
                </c:pt>
                <c:pt idx="213">
                  <c:v>192.01965501552311</c:v>
                </c:pt>
                <c:pt idx="214">
                  <c:v>194.33608612542028</c:v>
                </c:pt>
                <c:pt idx="215">
                  <c:v>196.64271809940792</c:v>
                </c:pt>
                <c:pt idx="216">
                  <c:v>198.93972855440705</c:v>
                </c:pt>
                <c:pt idx="217">
                  <c:v>201.22729167494879</c:v>
                </c:pt>
                <c:pt idx="218">
                  <c:v>203.50557831304317</c:v>
                </c:pt>
                <c:pt idx="219">
                  <c:v>205.77475608452283</c:v>
                </c:pt>
                <c:pt idx="220">
                  <c:v>208.03498946200847</c:v>
                </c:pt>
                <c:pt idx="221">
                  <c:v>210.28643986463587</c:v>
                </c:pt>
                <c:pt idx="222">
                  <c:v>212.52926574467736</c:v>
                </c:pt>
                <c:pt idx="223">
                  <c:v>214.76362267118344</c:v>
                </c:pt>
                <c:pt idx="224">
                  <c:v>216.98966341076465</c:v>
                </c:pt>
                <c:pt idx="225">
                  <c:v>219.20753800562744</c:v>
                </c:pt>
                <c:pt idx="226">
                  <c:v>221.4173938489721</c:v>
                </c:pt>
                <c:pt idx="227">
                  <c:v>223.61937575785583</c:v>
                </c:pt>
                <c:pt idx="228">
                  <c:v>225.8136260436184</c:v>
                </c:pt>
                <c:pt idx="229">
                  <c:v>228.00028457996353</c:v>
                </c:pt>
                <c:pt idx="230">
                  <c:v>230.17948886878412</c:v>
                </c:pt>
                <c:pt idx="231">
                  <c:v>232.35137410381523</c:v>
                </c:pt>
                <c:pt idx="232">
                  <c:v>234.5160732321946</c:v>
                </c:pt>
                <c:pt idx="233">
                  <c:v>236.67371701400617</c:v>
                </c:pt>
                <c:pt idx="234">
                  <c:v>238.82443407987887</c:v>
                </c:pt>
                <c:pt idx="235">
                  <c:v>240.96835098670826</c:v>
                </c:pt>
                <c:pt idx="236">
                  <c:v>243.10559227156628</c:v>
                </c:pt>
                <c:pt idx="237">
                  <c:v>245.23628050385997</c:v>
                </c:pt>
                <c:pt idx="238">
                  <c:v>247.36053633579743</c:v>
                </c:pt>
                <c:pt idx="239">
                  <c:v>249.47847855121557</c:v>
                </c:pt>
                <c:pt idx="240">
                  <c:v>251.59022411282183</c:v>
                </c:pt>
                <c:pt idx="241">
                  <c:v>253.69588820789849</c:v>
                </c:pt>
                <c:pt idx="242">
                  <c:v>255.79558429251563</c:v>
                </c:pt>
                <c:pt idx="243">
                  <c:v>257.88942413429584</c:v>
                </c:pt>
                <c:pt idx="244">
                  <c:v>259.9775178537713</c:v>
                </c:pt>
                <c:pt idx="245">
                  <c:v>262.05997396437056</c:v>
                </c:pt>
                <c:pt idx="246">
                  <c:v>264.13689941107077</c:v>
                </c:pt>
                <c:pt idx="247">
                  <c:v>266.20839960774691</c:v>
                </c:pt>
                <c:pt idx="248">
                  <c:v>268.27457847324871</c:v>
                </c:pt>
                <c:pt idx="249">
                  <c:v>270.3355384662317</c:v>
                </c:pt>
                <c:pt idx="250">
                  <c:v>272.39138061876764</c:v>
                </c:pt>
                <c:pt idx="251">
                  <c:v>274.44220456875559</c:v>
                </c:pt>
                <c:pt idx="252">
                  <c:v>276.48810859115326</c:v>
                </c:pt>
                <c:pt idx="253">
                  <c:v>278.52918962804506</c:v>
                </c:pt>
                <c:pt idx="254">
                  <c:v>280.5655433175603</c:v>
                </c:pt>
                <c:pt idx="255">
                  <c:v>282.59726402165262</c:v>
                </c:pt>
                <c:pt idx="256">
                  <c:v>284.62444485274813</c:v>
                </c:pt>
                <c:pt idx="257">
                  <c:v>286.64717769926676</c:v>
                </c:pt>
                <c:pt idx="258">
                  <c:v>288.66555325001889</c:v>
                </c:pt>
                <c:pt idx="259">
                  <c:v>290.67966101747413</c:v>
                </c:pt>
                <c:pt idx="260">
                  <c:v>292.68958935989718</c:v>
                </c:pt>
                <c:pt idx="261">
                  <c:v>294.69542550234104</c:v>
                </c:pt>
                <c:pt idx="262">
                  <c:v>296.69725555648353</c:v>
                </c:pt>
                <c:pt idx="263">
                  <c:v>298.69516453928901</c:v>
                </c:pt>
                <c:pt idx="264">
                  <c:v>300.68923639047262</c:v>
                </c:pt>
                <c:pt idx="265">
                  <c:v>302.67955398873818</c:v>
                </c:pt>
                <c:pt idx="266">
                  <c:v>304.66619916675666</c:v>
                </c:pt>
                <c:pt idx="267">
                  <c:v>306.64925272484527</c:v>
                </c:pt>
                <c:pt idx="268">
                  <c:v>308.62879444330054</c:v>
                </c:pt>
                <c:pt idx="269">
                  <c:v>310.6049030933321</c:v>
                </c:pt>
                <c:pt idx="270">
                  <c:v>312.57765644653557</c:v>
                </c:pt>
                <c:pt idx="271">
                  <c:v>314.54713128283458</c:v>
                </c:pt>
                <c:pt idx="272">
                  <c:v>316.51340339681246</c:v>
                </c:pt>
                <c:pt idx="273">
                  <c:v>318.47654760234371</c:v>
                </c:pt>
                <c:pt idx="274">
                  <c:v>320.43663773542471</c:v>
                </c:pt>
                <c:pt idx="275">
                  <c:v>322.39374665508939</c:v>
                </c:pt>
                <c:pt idx="276">
                  <c:v>324.34794624228351</c:v>
                </c:pt>
                <c:pt idx="277">
                  <c:v>326.29930739655561</c:v>
                </c:pt>
                <c:pt idx="278">
                  <c:v>328.2479000304067</c:v>
                </c:pt>
                <c:pt idx="279">
                  <c:v>330.19379306112279</c:v>
                </c:pt>
                <c:pt idx="280">
                  <c:v>332.13705439989667</c:v>
                </c:pt>
                <c:pt idx="281">
                  <c:v>334.07775093802309</c:v>
                </c:pt>
                <c:pt idx="282">
                  <c:v>336.01594852993117</c:v>
                </c:pt>
                <c:pt idx="283">
                  <c:v>337.95171197279404</c:v>
                </c:pt>
                <c:pt idx="284">
                  <c:v>339.88510498243153</c:v>
                </c:pt>
                <c:pt idx="285">
                  <c:v>341.81619016519721</c:v>
                </c:pt>
                <c:pt idx="286">
                  <c:v>343.74502898551532</c:v>
                </c:pt>
                <c:pt idx="287">
                  <c:v>345.6716817287097</c:v>
                </c:pt>
                <c:pt idx="288">
                  <c:v>347.59620745874344</c:v>
                </c:pt>
                <c:pt idx="289">
                  <c:v>349.51866397046865</c:v>
                </c:pt>
                <c:pt idx="290">
                  <c:v>351.4391077359719</c:v>
                </c:pt>
                <c:pt idx="291">
                  <c:v>353.35759384459413</c:v>
                </c:pt>
                <c:pt idx="292">
                  <c:v>355.27417593620925</c:v>
                </c:pt>
                <c:pt idx="293">
                  <c:v>357.18890612736493</c:v>
                </c:pt>
                <c:pt idx="294">
                  <c:v>359.10183492993116</c:v>
                </c:pt>
                <c:pt idx="295">
                  <c:v>361.01301116196697</c:v>
                </c:pt>
                <c:pt idx="296">
                  <c:v>362.92248185061806</c:v>
                </c:pt>
                <c:pt idx="297">
                  <c:v>364.83029212699716</c:v>
                </c:pt>
                <c:pt idx="298">
                  <c:v>366.73648511318834</c:v>
                </c:pt>
                <c:pt idx="299">
                  <c:v>368.64110180176004</c:v>
                </c:pt>
                <c:pt idx="300">
                  <c:v>370.54418092847476</c:v>
                </c:pt>
                <c:pt idx="301">
                  <c:v>372.44575883924836</c:v>
                </c:pt>
                <c:pt idx="302">
                  <c:v>374.34586935283323</c:v>
                </c:pt>
                <c:pt idx="303">
                  <c:v>376.24454362116677</c:v>
                </c:pt>
                <c:pt idx="304">
                  <c:v>378.141809989818</c:v>
                </c:pt>
                <c:pt idx="305">
                  <c:v>380.03769386144688</c:v>
                </c:pt>
                <c:pt idx="306">
                  <c:v>381.93221756562258</c:v>
                </c:pt>
                <c:pt idx="307">
                  <c:v>383.82540023867313</c:v>
                </c:pt>
                <c:pt idx="308">
                  <c:v>385.71725771740762</c:v>
                </c:pt>
                <c:pt idx="309">
                  <c:v>387.60780245051029</c:v>
                </c:pt>
                <c:pt idx="310">
                  <c:v>389.49704343111966</c:v>
                </c:pt>
                <c:pt idx="311">
                  <c:v>391.38498615355854</c:v>
                </c:pt>
                <c:pt idx="312">
                  <c:v>393.27163259639588</c:v>
                </c:pt>
                <c:pt idx="313">
                  <c:v>395.15698123304543</c:v>
                </c:pt>
                <c:pt idx="314">
                  <c:v>397.04102707002102</c:v>
                </c:pt>
                <c:pt idx="315">
                  <c:v>398.92376171187158</c:v>
                </c:pt>
                <c:pt idx="316">
                  <c:v>400.80517345080727</c:v>
                </c:pt>
                <c:pt idx="317">
                  <c:v>402.68524737818944</c:v>
                </c:pt>
                <c:pt idx="318">
                  <c:v>404.56396551444982</c:v>
                </c:pt>
                <c:pt idx="319">
                  <c:v>406.4413069536559</c:v>
                </c:pt>
                <c:pt idx="320">
                  <c:v>408.31724801884326</c:v>
                </c:pt>
                <c:pt idx="321">
                  <c:v>410.19176242436373</c:v>
                </c:pt>
                <c:pt idx="322">
                  <c:v>412.06482144179716</c:v>
                </c:pt>
                <c:pt idx="323">
                  <c:v>413.93639406639312</c:v>
                </c:pt>
                <c:pt idx="324">
                  <c:v>415.80644718149108</c:v>
                </c:pt>
                <c:pt idx="325">
                  <c:v>417.67494571886766</c:v>
                </c:pt>
                <c:pt idx="326">
                  <c:v>419.54185281344098</c:v>
                </c:pt>
                <c:pt idx="327">
                  <c:v>421.40712995120253</c:v>
                </c:pt>
                <c:pt idx="328">
                  <c:v>423.27073710962986</c:v>
                </c:pt>
                <c:pt idx="329">
                  <c:v>425.13263289015447</c:v>
                </c:pt>
                <c:pt idx="330">
                  <c:v>426.99277464251873</c:v>
                </c:pt>
                <c:pt idx="331">
                  <c:v>428.85111858105813</c:v>
                </c:pt>
                <c:pt idx="332">
                  <c:v>430.70761989309597</c:v>
                </c:pt>
                <c:pt idx="333">
                  <c:v>432.56223283974657</c:v>
                </c:pt>
                <c:pt idx="334">
                  <c:v>434.41491084949564</c:v>
                </c:pt>
                <c:pt idx="335">
                  <c:v>436.26560660497211</c:v>
                </c:pt>
                <c:pt idx="336">
                  <c:v>438.11427212334792</c:v>
                </c:pt>
                <c:pt idx="337">
                  <c:v>439.96085883080963</c:v>
                </c:pt>
                <c:pt idx="338">
                  <c:v>441.80531763153954</c:v>
                </c:pt>
                <c:pt idx="339">
                  <c:v>443.64759897163037</c:v>
                </c:pt>
                <c:pt idx="340">
                  <c:v>445.48765289833807</c:v>
                </c:pt>
                <c:pt idx="341">
                  <c:v>447.32542911505374</c:v>
                </c:pt>
                <c:pt idx="342">
                  <c:v>449.16087703235092</c:v>
                </c:pt>
                <c:pt idx="343">
                  <c:v>450.99394581543851</c:v>
                </c:pt>
                <c:pt idx="344">
                  <c:v>452.82458442832393</c:v>
                </c:pt>
                <c:pt idx="345">
                  <c:v>454.65274167496676</c:v>
                </c:pt>
                <c:pt idx="346">
                  <c:v>456.47836623767819</c:v>
                </c:pt>
                <c:pt idx="347">
                  <c:v>458.30140671300046</c:v>
                </c:pt>
                <c:pt idx="348">
                  <c:v>460.12181164527857</c:v>
                </c:pt>
                <c:pt idx="349">
                  <c:v>461.93952955811784</c:v>
                </c:pt>
                <c:pt idx="350">
                  <c:v>463.7545089839025</c:v>
                </c:pt>
                <c:pt idx="351">
                  <c:v>465.56669849153479</c:v>
                </c:pt>
                <c:pt idx="352">
                  <c:v>467.37604671253854</c:v>
                </c:pt>
                <c:pt idx="353">
                  <c:v>469.18250236565785</c:v>
                </c:pt>
                <c:pt idx="354">
                  <c:v>470.9860142800697</c:v>
                </c:pt>
                <c:pt idx="355">
                  <c:v>472.78653141731684</c:v>
                </c:pt>
                <c:pt idx="356">
                  <c:v>474.58400289205917</c:v>
                </c:pt>
                <c:pt idx="357">
                  <c:v>476.37837799173087</c:v>
                </c:pt>
                <c:pt idx="358">
                  <c:v>478.16960619518312</c:v>
                </c:pt>
                <c:pt idx="359">
                  <c:v>479.95763719038536</c:v>
                </c:pt>
                <c:pt idx="360">
                  <c:v>481.74242089124994</c:v>
                </c:pt>
                <c:pt idx="361">
                  <c:v>483.52390745364079</c:v>
                </c:pt>
                <c:pt idx="362">
                  <c:v>485.30204729061927</c:v>
                </c:pt>
                <c:pt idx="363">
                  <c:v>487.0767910869771</c:v>
                </c:pt>
                <c:pt idx="364">
                  <c:v>488.8480898131013</c:v>
                </c:pt>
                <c:pt idx="365">
                  <c:v>490.61589473821147</c:v>
                </c:pt>
                <c:pt idx="366">
                  <c:v>492.38015744300725</c:v>
                </c:pt>
                <c:pt idx="367">
                  <c:v>494.14082983175928</c:v>
                </c:pt>
                <c:pt idx="368">
                  <c:v>495.89786414387527</c:v>
                </c:pt>
                <c:pt idx="369">
                  <c:v>497.65121296496915</c:v>
                </c:pt>
                <c:pt idx="370">
                  <c:v>499.40082923745967</c:v>
                </c:pt>
                <c:pt idx="371">
                  <c:v>501.14666627072148</c:v>
                </c:pt>
                <c:pt idx="372">
                  <c:v>502.88867775081138</c:v>
                </c:pt>
                <c:pt idx="373">
                  <c:v>504.6268177497891</c:v>
                </c:pt>
                <c:pt idx="374">
                  <c:v>506.36104073465117</c:v>
                </c:pt>
                <c:pt idx="375">
                  <c:v>508.0913015758951</c:v>
                </c:pt>
                <c:pt idx="376">
                  <c:v>509.8175555557288</c:v>
                </c:pt>
                <c:pt idx="377">
                  <c:v>511.53975837594044</c:v>
                </c:pt>
                <c:pt idx="378">
                  <c:v>513.25786616544121</c:v>
                </c:pt>
                <c:pt idx="379">
                  <c:v>514.97183548749388</c:v>
                </c:pt>
                <c:pt idx="380">
                  <c:v>516.68162334663828</c:v>
                </c:pt>
                <c:pt idx="381">
                  <c:v>518.38718719532415</c:v>
                </c:pt>
                <c:pt idx="382">
                  <c:v>520.0884849402612</c:v>
                </c:pt>
                <c:pt idx="383">
                  <c:v>521.7854749484959</c:v>
                </c:pt>
                <c:pt idx="384">
                  <c:v>523.47811605322272</c:v>
                </c:pt>
                <c:pt idx="385">
                  <c:v>525.16636755933837</c:v>
                </c:pt>
                <c:pt idx="386">
                  <c:v>526.85018924874623</c:v>
                </c:pt>
                <c:pt idx="387">
                  <c:v>528.52954138541782</c:v>
                </c:pt>
                <c:pt idx="388">
                  <c:v>530.20438472021806</c:v>
                </c:pt>
                <c:pt idx="389">
                  <c:v>531.87468049550012</c:v>
                </c:pt>
                <c:pt idx="390">
                  <c:v>533.54039044947604</c:v>
                </c:pt>
                <c:pt idx="391">
                  <c:v>535.20147682036782</c:v>
                </c:pt>
                <c:pt idx="392">
                  <c:v>536.85790235034528</c:v>
                </c:pt>
                <c:pt idx="393">
                  <c:v>538.50963028925435</c:v>
                </c:pt>
                <c:pt idx="394">
                  <c:v>540.15662439814105</c:v>
                </c:pt>
                <c:pt idx="395">
                  <c:v>541.79884895257567</c:v>
                </c:pt>
                <c:pt idx="396">
                  <c:v>543.43626874578081</c:v>
                </c:pt>
                <c:pt idx="397">
                  <c:v>545.06884909156804</c:v>
                </c:pt>
                <c:pt idx="398">
                  <c:v>546.69655582708617</c:v>
                </c:pt>
                <c:pt idx="399">
                  <c:v>548.31935531538534</c:v>
                </c:pt>
                <c:pt idx="400">
                  <c:v>549.93721444780044</c:v>
                </c:pt>
                <c:pt idx="401">
                  <c:v>551.55010064615749</c:v>
                </c:pt>
                <c:pt idx="402">
                  <c:v>553.15798186480515</c:v>
                </c:pt>
                <c:pt idx="403">
                  <c:v>554.76082659247618</c:v>
                </c:pt>
                <c:pt idx="404">
                  <c:v>556.35860385398087</c:v>
                </c:pt>
                <c:pt idx="405">
                  <c:v>557.95128321173547</c:v>
                </c:pt>
                <c:pt idx="406">
                  <c:v>559.5388347671294</c:v>
                </c:pt>
                <c:pt idx="407">
                  <c:v>561.12122916173257</c:v>
                </c:pt>
                <c:pt idx="408">
                  <c:v>562.69843757834724</c:v>
                </c:pt>
                <c:pt idx="409">
                  <c:v>564.27043174190612</c:v>
                </c:pt>
                <c:pt idx="410">
                  <c:v>565.83718392021979</c:v>
                </c:pt>
                <c:pt idx="411">
                  <c:v>567.39866692457565</c:v>
                </c:pt>
                <c:pt idx="412">
                  <c:v>568.95485411019126</c:v>
                </c:pt>
                <c:pt idx="413">
                  <c:v>570.50571937652512</c:v>
                </c:pt>
                <c:pt idx="414">
                  <c:v>572.05123716744595</c:v>
                </c:pt>
                <c:pt idx="415">
                  <c:v>573.59138247126464</c:v>
                </c:pt>
                <c:pt idx="416">
                  <c:v>575.12613082062978</c:v>
                </c:pt>
                <c:pt idx="417">
                  <c:v>576.65545829229063</c:v>
                </c:pt>
                <c:pt idx="418">
                  <c:v>578.17934150672818</c:v>
                </c:pt>
                <c:pt idx="419">
                  <c:v>579.69775762765858</c:v>
                </c:pt>
                <c:pt idx="420">
                  <c:v>581.21068436140956</c:v>
                </c:pt>
                <c:pt idx="421">
                  <c:v>582.71809995617309</c:v>
                </c:pt>
                <c:pt idx="422">
                  <c:v>584.21998320113653</c:v>
                </c:pt>
                <c:pt idx="423">
                  <c:v>585.71631342549426</c:v>
                </c:pt>
                <c:pt idx="424">
                  <c:v>587.20707049734187</c:v>
                </c:pt>
                <c:pt idx="425">
                  <c:v>588.69223482245604</c:v>
                </c:pt>
                <c:pt idx="426">
                  <c:v>590.17178734296112</c:v>
                </c:pt>
                <c:pt idx="427">
                  <c:v>591.64570953588566</c:v>
                </c:pt>
                <c:pt idx="428">
                  <c:v>593.11398341161021</c:v>
                </c:pt>
                <c:pt idx="429">
                  <c:v>594.57659151220969</c:v>
                </c:pt>
                <c:pt idx="430">
                  <c:v>596.03351690969134</c:v>
                </c:pt>
                <c:pt idx="431">
                  <c:v>597.48474320413129</c:v>
                </c:pt>
                <c:pt idx="432">
                  <c:v>598.93025452171116</c:v>
                </c:pt>
                <c:pt idx="433">
                  <c:v>600.37003551265786</c:v>
                </c:pt>
                <c:pt idx="434">
                  <c:v>601.80407134908751</c:v>
                </c:pt>
                <c:pt idx="435">
                  <c:v>603.2323477227568</c:v>
                </c:pt>
                <c:pt idx="436">
                  <c:v>604.65485084272268</c:v>
                </c:pt>
                <c:pt idx="437">
                  <c:v>606.07156743291387</c:v>
                </c:pt>
                <c:pt idx="438">
                  <c:v>607.48248472961518</c:v>
                </c:pt>
                <c:pt idx="439">
                  <c:v>608.8875904788672</c:v>
                </c:pt>
                <c:pt idx="440">
                  <c:v>610.28687293378346</c:v>
                </c:pt>
                <c:pt idx="441">
                  <c:v>611.68032085178686</c:v>
                </c:pt>
                <c:pt idx="442">
                  <c:v>613.06792349176806</c:v>
                </c:pt>
                <c:pt idx="443">
                  <c:v>614.44967061116699</c:v>
                </c:pt>
                <c:pt idx="444">
                  <c:v>615.82555246298034</c:v>
                </c:pt>
                <c:pt idx="445">
                  <c:v>617.19555979269637</c:v>
                </c:pt>
                <c:pt idx="446">
                  <c:v>618.55968383515983</c:v>
                </c:pt>
                <c:pt idx="447">
                  <c:v>619.91791631136846</c:v>
                </c:pt>
                <c:pt idx="448">
                  <c:v>621.27024942520268</c:v>
                </c:pt>
                <c:pt idx="449">
                  <c:v>622.61667586009196</c:v>
                </c:pt>
                <c:pt idx="450">
                  <c:v>623.95718877561774</c:v>
                </c:pt>
                <c:pt idx="451">
                  <c:v>625.29178180405688</c:v>
                </c:pt>
                <c:pt idx="452">
                  <c:v>626.62044904686604</c:v>
                </c:pt>
                <c:pt idx="453">
                  <c:v>627.94318507111007</c:v>
                </c:pt>
                <c:pt idx="454">
                  <c:v>629.25998490583515</c:v>
                </c:pt>
                <c:pt idx="455">
                  <c:v>630.57084403839019</c:v>
                </c:pt>
                <c:pt idx="456">
                  <c:v>631.87575841069633</c:v>
                </c:pt>
                <c:pt idx="457">
                  <c:v>633.1747244154684</c:v>
                </c:pt>
                <c:pt idx="458">
                  <c:v>634.46773889238898</c:v>
                </c:pt>
                <c:pt idx="459">
                  <c:v>635.75479912423714</c:v>
                </c:pt>
                <c:pt idx="460">
                  <c:v>637.03590283297365</c:v>
                </c:pt>
                <c:pt idx="461">
                  <c:v>638.31104817578534</c:v>
                </c:pt>
                <c:pt idx="462">
                  <c:v>639.5802337410887</c:v>
                </c:pt>
                <c:pt idx="463">
                  <c:v>640.843458544496</c:v>
                </c:pt>
                <c:pt idx="464">
                  <c:v>642.10072202474498</c:v>
                </c:pt>
                <c:pt idx="465">
                  <c:v>643.35202403959397</c:v>
                </c:pt>
                <c:pt idx="466">
                  <c:v>644.59736486168424</c:v>
                </c:pt>
                <c:pt idx="467">
                  <c:v>645.83674517437112</c:v>
                </c:pt>
                <c:pt idx="468">
                  <c:v>647.07016606752597</c:v>
                </c:pt>
                <c:pt idx="469">
                  <c:v>648.2976290333097</c:v>
                </c:pt>
                <c:pt idx="470">
                  <c:v>649.51913596192082</c:v>
                </c:pt>
                <c:pt idx="471">
                  <c:v>650.73468913731847</c:v>
                </c:pt>
                <c:pt idx="472">
                  <c:v>651.94429123292275</c:v>
                </c:pt>
                <c:pt idx="473">
                  <c:v>653.14794530729375</c:v>
                </c:pt>
                <c:pt idx="474">
                  <c:v>654.34565479979017</c:v>
                </c:pt>
                <c:pt idx="475">
                  <c:v>655.53742352621055</c:v>
                </c:pt>
                <c:pt idx="476">
                  <c:v>656.72325567441703</c:v>
                </c:pt>
                <c:pt idx="477">
                  <c:v>657.90315579994399</c:v>
                </c:pt>
                <c:pt idx="478">
                  <c:v>659.07712882159308</c:v>
                </c:pt>
                <c:pt idx="479">
                  <c:v>660.24518001701563</c:v>
                </c:pt>
                <c:pt idx="480">
                  <c:v>661.40731501828407</c:v>
                </c:pt>
                <c:pt idx="481">
                  <c:v>662.56353980745428</c:v>
                </c:pt>
                <c:pt idx="482">
                  <c:v>663.71386071211896</c:v>
                </c:pt>
                <c:pt idx="483">
                  <c:v>664.85828440095486</c:v>
                </c:pt>
                <c:pt idx="484">
                  <c:v>665.99681787926431</c:v>
                </c:pt>
                <c:pt idx="485">
                  <c:v>667.12946848451247</c:v>
                </c:pt>
                <c:pt idx="486">
                  <c:v>668.25624388186156</c:v>
                </c:pt>
                <c:pt idx="487">
                  <c:v>669.3771520597038</c:v>
                </c:pt>
                <c:pt idx="488">
                  <c:v>670.49220132519406</c:v>
                </c:pt>
                <c:pt idx="489">
                  <c:v>671.60140029978243</c:v>
                </c:pt>
                <c:pt idx="490">
                  <c:v>672.70475791475008</c:v>
                </c:pt>
                <c:pt idx="491">
                  <c:v>673.80228340674716</c:v>
                </c:pt>
                <c:pt idx="492">
                  <c:v>674.89398631333574</c:v>
                </c:pt>
                <c:pt idx="493">
                  <c:v>675.97987646853801</c:v>
                </c:pt>
                <c:pt idx="494">
                  <c:v>677.05996399839069</c:v>
                </c:pt>
                <c:pt idx="495">
                  <c:v>678.13425931650761</c:v>
                </c:pt>
                <c:pt idx="496">
                  <c:v>679.20277311965049</c:v>
                </c:pt>
                <c:pt idx="497">
                  <c:v>680.26551638330989</c:v>
                </c:pt>
                <c:pt idx="498">
                  <c:v>681.32250035729624</c:v>
                </c:pt>
                <c:pt idx="499">
                  <c:v>682.37373656134298</c:v>
                </c:pt>
                <c:pt idx="500">
                  <c:v>683.41923678072249</c:v>
                </c:pt>
                <c:pt idx="501">
                  <c:v>684.45901306187488</c:v>
                </c:pt>
                <c:pt idx="502">
                  <c:v>685.49307770805217</c:v>
                </c:pt>
                <c:pt idx="503">
                  <c:v>686.52144327497706</c:v>
                </c:pt>
                <c:pt idx="504">
                  <c:v>687.54412256651858</c:v>
                </c:pt>
                <c:pt idx="505">
                  <c:v>688.56112863038425</c:v>
                </c:pt>
                <c:pt idx="506">
                  <c:v>689.57247475383031</c:v>
                </c:pt>
                <c:pt idx="507">
                  <c:v>690.57817445939122</c:v>
                </c:pt>
                <c:pt idx="508">
                  <c:v>691.57824150062766</c:v>
                </c:pt>
                <c:pt idx="509">
                  <c:v>692.57268985789551</c:v>
                </c:pt>
                <c:pt idx="510">
                  <c:v>693.56153373413531</c:v>
                </c:pt>
                <c:pt idx="511">
                  <c:v>694.54478755068385</c:v>
                </c:pt>
                <c:pt idx="512">
                  <c:v>695.52246594310759</c:v>
                </c:pt>
                <c:pt idx="513">
                  <c:v>696.49458375705967</c:v>
                </c:pt>
                <c:pt idx="514">
                  <c:v>697.46115604416025</c:v>
                </c:pt>
                <c:pt idx="515">
                  <c:v>698.4221980579008</c:v>
                </c:pt>
                <c:pt idx="516">
                  <c:v>699.37772524957415</c:v>
                </c:pt>
                <c:pt idx="517">
                  <c:v>700.32775326422927</c:v>
                </c:pt>
                <c:pt idx="518">
                  <c:v>701.27229793665254</c:v>
                </c:pt>
                <c:pt idx="519">
                  <c:v>702.21137528737529</c:v>
                </c:pt>
                <c:pt idx="520">
                  <c:v>703.14500151870845</c:v>
                </c:pt>
                <c:pt idx="521">
                  <c:v>704.07319301080531</c:v>
                </c:pt>
                <c:pt idx="522">
                  <c:v>704.99596631775148</c:v>
                </c:pt>
                <c:pt idx="523">
                  <c:v>705.91333816368456</c:v>
                </c:pt>
                <c:pt idx="524">
                  <c:v>706.82532543894138</c:v>
                </c:pt>
                <c:pt idx="525">
                  <c:v>707.73194519623621</c:v>
                </c:pt>
                <c:pt idx="526">
                  <c:v>708.63321464686749</c:v>
                </c:pt>
                <c:pt idx="527">
                  <c:v>709.52915115695555</c:v>
                </c:pt>
                <c:pt idx="528">
                  <c:v>710.41977224371067</c:v>
                </c:pt>
                <c:pt idx="529">
                  <c:v>711.30509557173207</c:v>
                </c:pt>
                <c:pt idx="530">
                  <c:v>712.18513894933824</c:v>
                </c:pt>
                <c:pt idx="531">
                  <c:v>712.18513894933824</c:v>
                </c:pt>
                <c:pt idx="532">
                  <c:v>712.18513894933824</c:v>
                </c:pt>
                <c:pt idx="533">
                  <c:v>712.18513894933824</c:v>
                </c:pt>
                <c:pt idx="534">
                  <c:v>712.18513894933824</c:v>
                </c:pt>
                <c:pt idx="535">
                  <c:v>712.18513894933824</c:v>
                </c:pt>
                <c:pt idx="536">
                  <c:v>712.18513894933824</c:v>
                </c:pt>
                <c:pt idx="537">
                  <c:v>712.18513894933824</c:v>
                </c:pt>
                <c:pt idx="538">
                  <c:v>712.18513894933824</c:v>
                </c:pt>
                <c:pt idx="539">
                  <c:v>712.18513894933824</c:v>
                </c:pt>
                <c:pt idx="540">
                  <c:v>712.18513894933824</c:v>
                </c:pt>
                <c:pt idx="541">
                  <c:v>712.18513894933824</c:v>
                </c:pt>
                <c:pt idx="542">
                  <c:v>712.18513894933824</c:v>
                </c:pt>
                <c:pt idx="543">
                  <c:v>712.18513894933824</c:v>
                </c:pt>
                <c:pt idx="544">
                  <c:v>712.18513894933824</c:v>
                </c:pt>
                <c:pt idx="545">
                  <c:v>712.18513894933824</c:v>
                </c:pt>
                <c:pt idx="546">
                  <c:v>712.18513894933824</c:v>
                </c:pt>
                <c:pt idx="547">
                  <c:v>712.18513894933824</c:v>
                </c:pt>
                <c:pt idx="548">
                  <c:v>712.18513894933824</c:v>
                </c:pt>
                <c:pt idx="549">
                  <c:v>712.18513894933824</c:v>
                </c:pt>
                <c:pt idx="550">
                  <c:v>712.18513894933824</c:v>
                </c:pt>
                <c:pt idx="551">
                  <c:v>712.18513894933824</c:v>
                </c:pt>
                <c:pt idx="552">
                  <c:v>712.18513894933824</c:v>
                </c:pt>
                <c:pt idx="553">
                  <c:v>712.18513894933824</c:v>
                </c:pt>
                <c:pt idx="554">
                  <c:v>712.18513894933824</c:v>
                </c:pt>
                <c:pt idx="555">
                  <c:v>712.18513894933824</c:v>
                </c:pt>
                <c:pt idx="556">
                  <c:v>712.18513894933824</c:v>
                </c:pt>
                <c:pt idx="557">
                  <c:v>712.18513894933824</c:v>
                </c:pt>
                <c:pt idx="558">
                  <c:v>712.18513894933824</c:v>
                </c:pt>
                <c:pt idx="559">
                  <c:v>712.18513894933824</c:v>
                </c:pt>
                <c:pt idx="560">
                  <c:v>712.18513894933824</c:v>
                </c:pt>
                <c:pt idx="561">
                  <c:v>712.18513894933824</c:v>
                </c:pt>
                <c:pt idx="562">
                  <c:v>712.18513894933824</c:v>
                </c:pt>
                <c:pt idx="563">
                  <c:v>712.18513894933824</c:v>
                </c:pt>
                <c:pt idx="564">
                  <c:v>712.18513894933824</c:v>
                </c:pt>
                <c:pt idx="565">
                  <c:v>712.18513894933824</c:v>
                </c:pt>
                <c:pt idx="566">
                  <c:v>712.18513894933824</c:v>
                </c:pt>
                <c:pt idx="567">
                  <c:v>712.18513894933824</c:v>
                </c:pt>
                <c:pt idx="568">
                  <c:v>712.18513894933824</c:v>
                </c:pt>
                <c:pt idx="569">
                  <c:v>712.18513894933824</c:v>
                </c:pt>
                <c:pt idx="570">
                  <c:v>712.18513894933824</c:v>
                </c:pt>
                <c:pt idx="571">
                  <c:v>712.18513894933824</c:v>
                </c:pt>
                <c:pt idx="572">
                  <c:v>712.18513894933824</c:v>
                </c:pt>
                <c:pt idx="573">
                  <c:v>712.18513894933824</c:v>
                </c:pt>
                <c:pt idx="574">
                  <c:v>712.18513894933824</c:v>
                </c:pt>
                <c:pt idx="575">
                  <c:v>712.18513894933824</c:v>
                </c:pt>
                <c:pt idx="576">
                  <c:v>712.18513894933824</c:v>
                </c:pt>
                <c:pt idx="577">
                  <c:v>712.18513894933824</c:v>
                </c:pt>
                <c:pt idx="578">
                  <c:v>712.18513894933824</c:v>
                </c:pt>
                <c:pt idx="579">
                  <c:v>712.18513894933824</c:v>
                </c:pt>
                <c:pt idx="580">
                  <c:v>712.18513894933824</c:v>
                </c:pt>
                <c:pt idx="581">
                  <c:v>712.18513894933824</c:v>
                </c:pt>
                <c:pt idx="582">
                  <c:v>712.18513894933824</c:v>
                </c:pt>
                <c:pt idx="583">
                  <c:v>712.18513894933824</c:v>
                </c:pt>
                <c:pt idx="584">
                  <c:v>712.18513894933824</c:v>
                </c:pt>
                <c:pt idx="585">
                  <c:v>712.18513894933824</c:v>
                </c:pt>
                <c:pt idx="586">
                  <c:v>712.18513894933824</c:v>
                </c:pt>
                <c:pt idx="587">
                  <c:v>712.18513894933824</c:v>
                </c:pt>
                <c:pt idx="588">
                  <c:v>712.18513894933824</c:v>
                </c:pt>
                <c:pt idx="589">
                  <c:v>712.18513894933824</c:v>
                </c:pt>
                <c:pt idx="590">
                  <c:v>712.18513894933824</c:v>
                </c:pt>
                <c:pt idx="591">
                  <c:v>712.18513894933824</c:v>
                </c:pt>
                <c:pt idx="592">
                  <c:v>712.18513894933824</c:v>
                </c:pt>
                <c:pt idx="593">
                  <c:v>712.18513894933824</c:v>
                </c:pt>
                <c:pt idx="594">
                  <c:v>712.18513894933824</c:v>
                </c:pt>
                <c:pt idx="595">
                  <c:v>712.18513894933824</c:v>
                </c:pt>
                <c:pt idx="596">
                  <c:v>712.18513894933824</c:v>
                </c:pt>
                <c:pt idx="597">
                  <c:v>712.18513894933824</c:v>
                </c:pt>
                <c:pt idx="598">
                  <c:v>712.18513894933824</c:v>
                </c:pt>
                <c:pt idx="599">
                  <c:v>712.18513894933824</c:v>
                </c:pt>
                <c:pt idx="600">
                  <c:v>712.18513894933824</c:v>
                </c:pt>
                <c:pt idx="601">
                  <c:v>712.18513894933824</c:v>
                </c:pt>
                <c:pt idx="602">
                  <c:v>712.18513894933824</c:v>
                </c:pt>
                <c:pt idx="603">
                  <c:v>712.18513894933824</c:v>
                </c:pt>
                <c:pt idx="604">
                  <c:v>712.18513894933824</c:v>
                </c:pt>
                <c:pt idx="605">
                  <c:v>712.18513894933824</c:v>
                </c:pt>
                <c:pt idx="606">
                  <c:v>712.18513894933824</c:v>
                </c:pt>
                <c:pt idx="607">
                  <c:v>712.18513894933824</c:v>
                </c:pt>
                <c:pt idx="608">
                  <c:v>712.18513894933824</c:v>
                </c:pt>
                <c:pt idx="609">
                  <c:v>712.18513894933824</c:v>
                </c:pt>
                <c:pt idx="610">
                  <c:v>712.18513894933824</c:v>
                </c:pt>
                <c:pt idx="611">
                  <c:v>712.18513894933824</c:v>
                </c:pt>
                <c:pt idx="612">
                  <c:v>712.18513894933824</c:v>
                </c:pt>
                <c:pt idx="613">
                  <c:v>712.18513894933824</c:v>
                </c:pt>
                <c:pt idx="614">
                  <c:v>712.18513894933824</c:v>
                </c:pt>
                <c:pt idx="615">
                  <c:v>712.18513894933824</c:v>
                </c:pt>
                <c:pt idx="616">
                  <c:v>712.18513894933824</c:v>
                </c:pt>
                <c:pt idx="617">
                  <c:v>712.18513894933824</c:v>
                </c:pt>
                <c:pt idx="618">
                  <c:v>712.18513894933824</c:v>
                </c:pt>
                <c:pt idx="619">
                  <c:v>712.18513894933824</c:v>
                </c:pt>
                <c:pt idx="620">
                  <c:v>712.18513894933824</c:v>
                </c:pt>
                <c:pt idx="621">
                  <c:v>712.18513894933824</c:v>
                </c:pt>
                <c:pt idx="622">
                  <c:v>712.18513894933824</c:v>
                </c:pt>
                <c:pt idx="623">
                  <c:v>712.18513894933824</c:v>
                </c:pt>
                <c:pt idx="624">
                  <c:v>712.18513894933824</c:v>
                </c:pt>
                <c:pt idx="625">
                  <c:v>712.18513894933824</c:v>
                </c:pt>
                <c:pt idx="626">
                  <c:v>712.18513894933824</c:v>
                </c:pt>
                <c:pt idx="627">
                  <c:v>712.18513894933824</c:v>
                </c:pt>
                <c:pt idx="628">
                  <c:v>712.18513894933824</c:v>
                </c:pt>
                <c:pt idx="629">
                  <c:v>712.18513894933824</c:v>
                </c:pt>
                <c:pt idx="630">
                  <c:v>712.18513894933824</c:v>
                </c:pt>
                <c:pt idx="631">
                  <c:v>712.18513894933824</c:v>
                </c:pt>
                <c:pt idx="632">
                  <c:v>712.18513894933824</c:v>
                </c:pt>
                <c:pt idx="633">
                  <c:v>712.18513894933824</c:v>
                </c:pt>
                <c:pt idx="634">
                  <c:v>712.18513894933824</c:v>
                </c:pt>
                <c:pt idx="635">
                  <c:v>712.18513894933824</c:v>
                </c:pt>
                <c:pt idx="636">
                  <c:v>712.18513894933824</c:v>
                </c:pt>
                <c:pt idx="637">
                  <c:v>712.18513894933824</c:v>
                </c:pt>
                <c:pt idx="638">
                  <c:v>712.18513894933824</c:v>
                </c:pt>
                <c:pt idx="639">
                  <c:v>712.18513894933824</c:v>
                </c:pt>
                <c:pt idx="640">
                  <c:v>712.18513894933824</c:v>
                </c:pt>
                <c:pt idx="641">
                  <c:v>712.18513894933824</c:v>
                </c:pt>
                <c:pt idx="642">
                  <c:v>712.18513894933824</c:v>
                </c:pt>
                <c:pt idx="643">
                  <c:v>712.18513894933824</c:v>
                </c:pt>
                <c:pt idx="644">
                  <c:v>712.18513894933824</c:v>
                </c:pt>
                <c:pt idx="645">
                  <c:v>712.18513894933824</c:v>
                </c:pt>
                <c:pt idx="646">
                  <c:v>712.18513894933824</c:v>
                </c:pt>
                <c:pt idx="647">
                  <c:v>712.18513894933824</c:v>
                </c:pt>
                <c:pt idx="648">
                  <c:v>712.18513894933824</c:v>
                </c:pt>
                <c:pt idx="649">
                  <c:v>712.18513894933824</c:v>
                </c:pt>
                <c:pt idx="650">
                  <c:v>712.18513894933824</c:v>
                </c:pt>
                <c:pt idx="651">
                  <c:v>712.18513894933824</c:v>
                </c:pt>
                <c:pt idx="652">
                  <c:v>712.18513894933824</c:v>
                </c:pt>
                <c:pt idx="653">
                  <c:v>712.18513894933824</c:v>
                </c:pt>
                <c:pt idx="654">
                  <c:v>712.18513894933824</c:v>
                </c:pt>
                <c:pt idx="655">
                  <c:v>712.18513894933824</c:v>
                </c:pt>
                <c:pt idx="656">
                  <c:v>712.18513894933824</c:v>
                </c:pt>
                <c:pt idx="657">
                  <c:v>712.18513894933824</c:v>
                </c:pt>
                <c:pt idx="658">
                  <c:v>712.18513894933824</c:v>
                </c:pt>
                <c:pt idx="659">
                  <c:v>712.18513894933824</c:v>
                </c:pt>
                <c:pt idx="660">
                  <c:v>712.18513894933824</c:v>
                </c:pt>
                <c:pt idx="661">
                  <c:v>712.18513894933824</c:v>
                </c:pt>
                <c:pt idx="662">
                  <c:v>712.18513894933824</c:v>
                </c:pt>
                <c:pt idx="663">
                  <c:v>712.18513894933824</c:v>
                </c:pt>
                <c:pt idx="664">
                  <c:v>712.18513894933824</c:v>
                </c:pt>
                <c:pt idx="665">
                  <c:v>712.18513894933824</c:v>
                </c:pt>
                <c:pt idx="666">
                  <c:v>712.18513894933824</c:v>
                </c:pt>
                <c:pt idx="667">
                  <c:v>712.18513894933824</c:v>
                </c:pt>
                <c:pt idx="668">
                  <c:v>712.18513894933824</c:v>
                </c:pt>
                <c:pt idx="669">
                  <c:v>712.18513894933824</c:v>
                </c:pt>
                <c:pt idx="670">
                  <c:v>712.18513894933824</c:v>
                </c:pt>
                <c:pt idx="671">
                  <c:v>712.18513894933824</c:v>
                </c:pt>
                <c:pt idx="672">
                  <c:v>712.18513894933824</c:v>
                </c:pt>
                <c:pt idx="673">
                  <c:v>712.18513894933824</c:v>
                </c:pt>
                <c:pt idx="674">
                  <c:v>712.18513894933824</c:v>
                </c:pt>
                <c:pt idx="675">
                  <c:v>712.18513894933824</c:v>
                </c:pt>
                <c:pt idx="676">
                  <c:v>712.18513894933824</c:v>
                </c:pt>
                <c:pt idx="677">
                  <c:v>712.18513894933824</c:v>
                </c:pt>
                <c:pt idx="678">
                  <c:v>712.18513894933824</c:v>
                </c:pt>
                <c:pt idx="679">
                  <c:v>712.18513894933824</c:v>
                </c:pt>
                <c:pt idx="680">
                  <c:v>712.18513894933824</c:v>
                </c:pt>
                <c:pt idx="681">
                  <c:v>712.18513894933824</c:v>
                </c:pt>
                <c:pt idx="682">
                  <c:v>712.18513894933824</c:v>
                </c:pt>
                <c:pt idx="683">
                  <c:v>712.18513894933824</c:v>
                </c:pt>
                <c:pt idx="684">
                  <c:v>712.18513894933824</c:v>
                </c:pt>
                <c:pt idx="685">
                  <c:v>712.18513894933824</c:v>
                </c:pt>
                <c:pt idx="686">
                  <c:v>712.18513894933824</c:v>
                </c:pt>
                <c:pt idx="687">
                  <c:v>712.18513894933824</c:v>
                </c:pt>
                <c:pt idx="688">
                  <c:v>712.18513894933824</c:v>
                </c:pt>
                <c:pt idx="689">
                  <c:v>712.18513894933824</c:v>
                </c:pt>
                <c:pt idx="690">
                  <c:v>712.18513894933824</c:v>
                </c:pt>
                <c:pt idx="691">
                  <c:v>712.18513894933824</c:v>
                </c:pt>
                <c:pt idx="692">
                  <c:v>712.18513894933824</c:v>
                </c:pt>
                <c:pt idx="693">
                  <c:v>712.18513894933824</c:v>
                </c:pt>
                <c:pt idx="694">
                  <c:v>712.18513894933824</c:v>
                </c:pt>
                <c:pt idx="695">
                  <c:v>712.18513894933824</c:v>
                </c:pt>
                <c:pt idx="696">
                  <c:v>712.18513894933824</c:v>
                </c:pt>
                <c:pt idx="697">
                  <c:v>712.18513894933824</c:v>
                </c:pt>
                <c:pt idx="698">
                  <c:v>712.18513894933824</c:v>
                </c:pt>
                <c:pt idx="699">
                  <c:v>712.18513894933824</c:v>
                </c:pt>
                <c:pt idx="700">
                  <c:v>712.18513894933824</c:v>
                </c:pt>
                <c:pt idx="701">
                  <c:v>712.18513894933824</c:v>
                </c:pt>
                <c:pt idx="702">
                  <c:v>712.18513894933824</c:v>
                </c:pt>
                <c:pt idx="703">
                  <c:v>712.18513894933824</c:v>
                </c:pt>
                <c:pt idx="704">
                  <c:v>712.18513894933824</c:v>
                </c:pt>
                <c:pt idx="705">
                  <c:v>712.18513894933824</c:v>
                </c:pt>
                <c:pt idx="706">
                  <c:v>712.18513894933824</c:v>
                </c:pt>
                <c:pt idx="707">
                  <c:v>712.18513894933824</c:v>
                </c:pt>
                <c:pt idx="708">
                  <c:v>712.18513894933824</c:v>
                </c:pt>
                <c:pt idx="709">
                  <c:v>712.18513894933824</c:v>
                </c:pt>
                <c:pt idx="710">
                  <c:v>712.18513894933824</c:v>
                </c:pt>
                <c:pt idx="711">
                  <c:v>712.18513894933824</c:v>
                </c:pt>
                <c:pt idx="712">
                  <c:v>712.18513894933824</c:v>
                </c:pt>
                <c:pt idx="713">
                  <c:v>712.18513894933824</c:v>
                </c:pt>
                <c:pt idx="714">
                  <c:v>712.18513894933824</c:v>
                </c:pt>
                <c:pt idx="715">
                  <c:v>712.18513894933824</c:v>
                </c:pt>
                <c:pt idx="716">
                  <c:v>712.18513894933824</c:v>
                </c:pt>
                <c:pt idx="717">
                  <c:v>712.18513894933824</c:v>
                </c:pt>
                <c:pt idx="718">
                  <c:v>712.18513894933824</c:v>
                </c:pt>
                <c:pt idx="719">
                  <c:v>712.18513894933824</c:v>
                </c:pt>
                <c:pt idx="720">
                  <c:v>712.18513894933824</c:v>
                </c:pt>
                <c:pt idx="721">
                  <c:v>712.18513894933824</c:v>
                </c:pt>
                <c:pt idx="722">
                  <c:v>712.18513894933824</c:v>
                </c:pt>
                <c:pt idx="723">
                  <c:v>712.18513894933824</c:v>
                </c:pt>
                <c:pt idx="724">
                  <c:v>712.18513894933824</c:v>
                </c:pt>
                <c:pt idx="725">
                  <c:v>712.18513894933824</c:v>
                </c:pt>
                <c:pt idx="726">
                  <c:v>712.18513894933824</c:v>
                </c:pt>
                <c:pt idx="727">
                  <c:v>712.18513894933824</c:v>
                </c:pt>
                <c:pt idx="728">
                  <c:v>712.18513894933824</c:v>
                </c:pt>
                <c:pt idx="729">
                  <c:v>712.18513894933824</c:v>
                </c:pt>
                <c:pt idx="730">
                  <c:v>712.18513894933824</c:v>
                </c:pt>
                <c:pt idx="731">
                  <c:v>712.18513894933824</c:v>
                </c:pt>
                <c:pt idx="732">
                  <c:v>712.18513894933824</c:v>
                </c:pt>
                <c:pt idx="733">
                  <c:v>712.18513894933824</c:v>
                </c:pt>
                <c:pt idx="734">
                  <c:v>712.18513894933824</c:v>
                </c:pt>
                <c:pt idx="735">
                  <c:v>712.18513894933824</c:v>
                </c:pt>
                <c:pt idx="736">
                  <c:v>712.18513894933824</c:v>
                </c:pt>
                <c:pt idx="737">
                  <c:v>712.18513894933824</c:v>
                </c:pt>
                <c:pt idx="738">
                  <c:v>712.18513894933824</c:v>
                </c:pt>
                <c:pt idx="739">
                  <c:v>712.18513894933824</c:v>
                </c:pt>
                <c:pt idx="740">
                  <c:v>712.18513894933824</c:v>
                </c:pt>
                <c:pt idx="741">
                  <c:v>712.18513894933824</c:v>
                </c:pt>
                <c:pt idx="742">
                  <c:v>712.18513894933824</c:v>
                </c:pt>
                <c:pt idx="743">
                  <c:v>712.18513894933824</c:v>
                </c:pt>
                <c:pt idx="744">
                  <c:v>712.18513894933824</c:v>
                </c:pt>
                <c:pt idx="745">
                  <c:v>712.18513894933824</c:v>
                </c:pt>
                <c:pt idx="746">
                  <c:v>712.18513894933824</c:v>
                </c:pt>
                <c:pt idx="747">
                  <c:v>712.18513894933824</c:v>
                </c:pt>
                <c:pt idx="748">
                  <c:v>712.18513894933824</c:v>
                </c:pt>
                <c:pt idx="749">
                  <c:v>712.18513894933824</c:v>
                </c:pt>
                <c:pt idx="750">
                  <c:v>712.18513894933824</c:v>
                </c:pt>
                <c:pt idx="751">
                  <c:v>712.18513894933824</c:v>
                </c:pt>
                <c:pt idx="752">
                  <c:v>712.18513894933824</c:v>
                </c:pt>
                <c:pt idx="753">
                  <c:v>712.18513894933824</c:v>
                </c:pt>
                <c:pt idx="754">
                  <c:v>712.18513894933824</c:v>
                </c:pt>
                <c:pt idx="755">
                  <c:v>712.18513894933824</c:v>
                </c:pt>
                <c:pt idx="756">
                  <c:v>712.18513894933824</c:v>
                </c:pt>
                <c:pt idx="757">
                  <c:v>712.18513894933824</c:v>
                </c:pt>
                <c:pt idx="758">
                  <c:v>712.18513894933824</c:v>
                </c:pt>
                <c:pt idx="759">
                  <c:v>712.18513894933824</c:v>
                </c:pt>
                <c:pt idx="760">
                  <c:v>712.18513894933824</c:v>
                </c:pt>
                <c:pt idx="761">
                  <c:v>712.18513894933824</c:v>
                </c:pt>
                <c:pt idx="762">
                  <c:v>712.18513894933824</c:v>
                </c:pt>
                <c:pt idx="763">
                  <c:v>712.18513894933824</c:v>
                </c:pt>
                <c:pt idx="764">
                  <c:v>712.18513894933824</c:v>
                </c:pt>
                <c:pt idx="765">
                  <c:v>712.18513894933824</c:v>
                </c:pt>
                <c:pt idx="766">
                  <c:v>712.18513894933824</c:v>
                </c:pt>
                <c:pt idx="767">
                  <c:v>712.18513894933824</c:v>
                </c:pt>
                <c:pt idx="768">
                  <c:v>712.18513894933824</c:v>
                </c:pt>
                <c:pt idx="769">
                  <c:v>712.18513894933824</c:v>
                </c:pt>
                <c:pt idx="770">
                  <c:v>712.18513894933824</c:v>
                </c:pt>
                <c:pt idx="771">
                  <c:v>712.18513894933824</c:v>
                </c:pt>
                <c:pt idx="772">
                  <c:v>712.18513894933824</c:v>
                </c:pt>
                <c:pt idx="773">
                  <c:v>712.18513894933824</c:v>
                </c:pt>
                <c:pt idx="774">
                  <c:v>712.18513894933824</c:v>
                </c:pt>
                <c:pt idx="775">
                  <c:v>712.18513894933824</c:v>
                </c:pt>
                <c:pt idx="776">
                  <c:v>712.18513894933824</c:v>
                </c:pt>
                <c:pt idx="777">
                  <c:v>712.18513894933824</c:v>
                </c:pt>
                <c:pt idx="778">
                  <c:v>712.18513894933824</c:v>
                </c:pt>
                <c:pt idx="779">
                  <c:v>712.18513894933824</c:v>
                </c:pt>
                <c:pt idx="780">
                  <c:v>712.18513894933824</c:v>
                </c:pt>
                <c:pt idx="781">
                  <c:v>712.18513894933824</c:v>
                </c:pt>
                <c:pt idx="782">
                  <c:v>712.18513894933824</c:v>
                </c:pt>
                <c:pt idx="783">
                  <c:v>712.18513894933824</c:v>
                </c:pt>
                <c:pt idx="784">
                  <c:v>712.18513894933824</c:v>
                </c:pt>
                <c:pt idx="785">
                  <c:v>712.18513894933824</c:v>
                </c:pt>
                <c:pt idx="786">
                  <c:v>712.18513894933824</c:v>
                </c:pt>
                <c:pt idx="787">
                  <c:v>712.18513894933824</c:v>
                </c:pt>
                <c:pt idx="788">
                  <c:v>712.18513894933824</c:v>
                </c:pt>
                <c:pt idx="789">
                  <c:v>712.18513894933824</c:v>
                </c:pt>
                <c:pt idx="790">
                  <c:v>712.18513894933824</c:v>
                </c:pt>
                <c:pt idx="791">
                  <c:v>712.18513894933824</c:v>
                </c:pt>
                <c:pt idx="792">
                  <c:v>712.18513894933824</c:v>
                </c:pt>
                <c:pt idx="793">
                  <c:v>712.18513894933824</c:v>
                </c:pt>
                <c:pt idx="794">
                  <c:v>712.18513894933824</c:v>
                </c:pt>
                <c:pt idx="795">
                  <c:v>712.18513894933824</c:v>
                </c:pt>
                <c:pt idx="796">
                  <c:v>712.18513894933824</c:v>
                </c:pt>
                <c:pt idx="797">
                  <c:v>712.18513894933824</c:v>
                </c:pt>
                <c:pt idx="798">
                  <c:v>712.18513894933824</c:v>
                </c:pt>
                <c:pt idx="799">
                  <c:v>712.18513894933824</c:v>
                </c:pt>
                <c:pt idx="800">
                  <c:v>712.18513894933824</c:v>
                </c:pt>
                <c:pt idx="801">
                  <c:v>712.18513894933824</c:v>
                </c:pt>
                <c:pt idx="802">
                  <c:v>712.18513894933824</c:v>
                </c:pt>
                <c:pt idx="803">
                  <c:v>712.18513894933824</c:v>
                </c:pt>
                <c:pt idx="804">
                  <c:v>712.18513894933824</c:v>
                </c:pt>
                <c:pt idx="805">
                  <c:v>712.18513894933824</c:v>
                </c:pt>
                <c:pt idx="806">
                  <c:v>712.18513894933824</c:v>
                </c:pt>
                <c:pt idx="807">
                  <c:v>712.18513894933824</c:v>
                </c:pt>
                <c:pt idx="808">
                  <c:v>712.18513894933824</c:v>
                </c:pt>
                <c:pt idx="809">
                  <c:v>712.18513894933824</c:v>
                </c:pt>
                <c:pt idx="810">
                  <c:v>712.18513894933824</c:v>
                </c:pt>
                <c:pt idx="811">
                  <c:v>712.18513894933824</c:v>
                </c:pt>
                <c:pt idx="812">
                  <c:v>712.18513894933824</c:v>
                </c:pt>
                <c:pt idx="813">
                  <c:v>712.18513894933824</c:v>
                </c:pt>
                <c:pt idx="814">
                  <c:v>712.18513894933824</c:v>
                </c:pt>
                <c:pt idx="815">
                  <c:v>712.18513894933824</c:v>
                </c:pt>
                <c:pt idx="816">
                  <c:v>712.18513894933824</c:v>
                </c:pt>
                <c:pt idx="817">
                  <c:v>712.18513894933824</c:v>
                </c:pt>
                <c:pt idx="818">
                  <c:v>712.18513894933824</c:v>
                </c:pt>
                <c:pt idx="819">
                  <c:v>712.18513894933824</c:v>
                </c:pt>
                <c:pt idx="820">
                  <c:v>712.18513894933824</c:v>
                </c:pt>
                <c:pt idx="821">
                  <c:v>712.18513894933824</c:v>
                </c:pt>
                <c:pt idx="822">
                  <c:v>712.18513894933824</c:v>
                </c:pt>
                <c:pt idx="823">
                  <c:v>712.18513894933824</c:v>
                </c:pt>
                <c:pt idx="824">
                  <c:v>712.18513894933824</c:v>
                </c:pt>
                <c:pt idx="825">
                  <c:v>712.18513894933824</c:v>
                </c:pt>
                <c:pt idx="826">
                  <c:v>712.18513894933824</c:v>
                </c:pt>
                <c:pt idx="827">
                  <c:v>712.18513894933824</c:v>
                </c:pt>
                <c:pt idx="828">
                  <c:v>712.18513894933824</c:v>
                </c:pt>
                <c:pt idx="829">
                  <c:v>712.18513894933824</c:v>
                </c:pt>
                <c:pt idx="830">
                  <c:v>712.18513894933824</c:v>
                </c:pt>
                <c:pt idx="831">
                  <c:v>712.18513894933824</c:v>
                </c:pt>
                <c:pt idx="832">
                  <c:v>712.18513894933824</c:v>
                </c:pt>
                <c:pt idx="833">
                  <c:v>712.18513894933824</c:v>
                </c:pt>
                <c:pt idx="834">
                  <c:v>712.18513894933824</c:v>
                </c:pt>
                <c:pt idx="835">
                  <c:v>712.18513894933824</c:v>
                </c:pt>
                <c:pt idx="836">
                  <c:v>712.18513894933824</c:v>
                </c:pt>
                <c:pt idx="837">
                  <c:v>712.18513894933824</c:v>
                </c:pt>
                <c:pt idx="838">
                  <c:v>712.18513894933824</c:v>
                </c:pt>
                <c:pt idx="839">
                  <c:v>712.18513894933824</c:v>
                </c:pt>
                <c:pt idx="840">
                  <c:v>712.18513894933824</c:v>
                </c:pt>
                <c:pt idx="841">
                  <c:v>712.18513894933824</c:v>
                </c:pt>
                <c:pt idx="842">
                  <c:v>712.18513894933824</c:v>
                </c:pt>
                <c:pt idx="843">
                  <c:v>712.18513894933824</c:v>
                </c:pt>
                <c:pt idx="844">
                  <c:v>712.18513894933824</c:v>
                </c:pt>
                <c:pt idx="845">
                  <c:v>712.18513894933824</c:v>
                </c:pt>
                <c:pt idx="846">
                  <c:v>712.18513894933824</c:v>
                </c:pt>
                <c:pt idx="847">
                  <c:v>712.18513894933824</c:v>
                </c:pt>
                <c:pt idx="848">
                  <c:v>712.18513894933824</c:v>
                </c:pt>
                <c:pt idx="849">
                  <c:v>712.18513894933824</c:v>
                </c:pt>
                <c:pt idx="850">
                  <c:v>712.18513894933824</c:v>
                </c:pt>
                <c:pt idx="851">
                  <c:v>712.18513894933824</c:v>
                </c:pt>
                <c:pt idx="852">
                  <c:v>712.18513894933824</c:v>
                </c:pt>
                <c:pt idx="853">
                  <c:v>712.18513894933824</c:v>
                </c:pt>
                <c:pt idx="854">
                  <c:v>712.18513894933824</c:v>
                </c:pt>
                <c:pt idx="855">
                  <c:v>712.18513894933824</c:v>
                </c:pt>
                <c:pt idx="856">
                  <c:v>712.18513894933824</c:v>
                </c:pt>
                <c:pt idx="857">
                  <c:v>712.18513894933824</c:v>
                </c:pt>
                <c:pt idx="858">
                  <c:v>712.18513894933824</c:v>
                </c:pt>
                <c:pt idx="859">
                  <c:v>712.18513894933824</c:v>
                </c:pt>
                <c:pt idx="860">
                  <c:v>712.18513894933824</c:v>
                </c:pt>
                <c:pt idx="861">
                  <c:v>712.18513894933824</c:v>
                </c:pt>
                <c:pt idx="862">
                  <c:v>712.18513894933824</c:v>
                </c:pt>
                <c:pt idx="863">
                  <c:v>712.18513894933824</c:v>
                </c:pt>
                <c:pt idx="864">
                  <c:v>712.18513894933824</c:v>
                </c:pt>
                <c:pt idx="865">
                  <c:v>712.18513894933824</c:v>
                </c:pt>
                <c:pt idx="866">
                  <c:v>712.18513894933824</c:v>
                </c:pt>
                <c:pt idx="867">
                  <c:v>712.18513894933824</c:v>
                </c:pt>
                <c:pt idx="868">
                  <c:v>712.18513894933824</c:v>
                </c:pt>
                <c:pt idx="869">
                  <c:v>712.18513894933824</c:v>
                </c:pt>
                <c:pt idx="870">
                  <c:v>712.18513894933824</c:v>
                </c:pt>
                <c:pt idx="871">
                  <c:v>712.18513894933824</c:v>
                </c:pt>
                <c:pt idx="872">
                  <c:v>712.18513894933824</c:v>
                </c:pt>
                <c:pt idx="873">
                  <c:v>712.18513894933824</c:v>
                </c:pt>
                <c:pt idx="874">
                  <c:v>712.18513894933824</c:v>
                </c:pt>
                <c:pt idx="875">
                  <c:v>712.18513894933824</c:v>
                </c:pt>
                <c:pt idx="876">
                  <c:v>712.18513894933824</c:v>
                </c:pt>
                <c:pt idx="877">
                  <c:v>712.18513894933824</c:v>
                </c:pt>
                <c:pt idx="878">
                  <c:v>712.18513894933824</c:v>
                </c:pt>
                <c:pt idx="879">
                  <c:v>712.18513894933824</c:v>
                </c:pt>
                <c:pt idx="880">
                  <c:v>712.18513894933824</c:v>
                </c:pt>
                <c:pt idx="881">
                  <c:v>712.18513894933824</c:v>
                </c:pt>
                <c:pt idx="882">
                  <c:v>712.18513894933824</c:v>
                </c:pt>
                <c:pt idx="883">
                  <c:v>712.18513894933824</c:v>
                </c:pt>
                <c:pt idx="884">
                  <c:v>712.18513894933824</c:v>
                </c:pt>
                <c:pt idx="885">
                  <c:v>712.18513894933824</c:v>
                </c:pt>
                <c:pt idx="886">
                  <c:v>712.18513894933824</c:v>
                </c:pt>
                <c:pt idx="887">
                  <c:v>712.18513894933824</c:v>
                </c:pt>
                <c:pt idx="888">
                  <c:v>712.18513894933824</c:v>
                </c:pt>
                <c:pt idx="889">
                  <c:v>712.18513894933824</c:v>
                </c:pt>
                <c:pt idx="890">
                  <c:v>712.18513894933824</c:v>
                </c:pt>
                <c:pt idx="891">
                  <c:v>712.18513894933824</c:v>
                </c:pt>
                <c:pt idx="892">
                  <c:v>712.18513894933824</c:v>
                </c:pt>
                <c:pt idx="893">
                  <c:v>712.18513894933824</c:v>
                </c:pt>
                <c:pt idx="894">
                  <c:v>712.18513894933824</c:v>
                </c:pt>
                <c:pt idx="895">
                  <c:v>712.18513894933824</c:v>
                </c:pt>
                <c:pt idx="896">
                  <c:v>712.18513894933824</c:v>
                </c:pt>
                <c:pt idx="897">
                  <c:v>712.18513894933824</c:v>
                </c:pt>
                <c:pt idx="898">
                  <c:v>712.18513894933824</c:v>
                </c:pt>
                <c:pt idx="899">
                  <c:v>712.18513894933824</c:v>
                </c:pt>
                <c:pt idx="900">
                  <c:v>712.18513894933824</c:v>
                </c:pt>
                <c:pt idx="901">
                  <c:v>712.18513894933824</c:v>
                </c:pt>
                <c:pt idx="902">
                  <c:v>712.18513894933824</c:v>
                </c:pt>
                <c:pt idx="903">
                  <c:v>712.18513894933824</c:v>
                </c:pt>
                <c:pt idx="904">
                  <c:v>712.18513894933824</c:v>
                </c:pt>
                <c:pt idx="905">
                  <c:v>712.18513894933824</c:v>
                </c:pt>
                <c:pt idx="906">
                  <c:v>712.18513894933824</c:v>
                </c:pt>
                <c:pt idx="907">
                  <c:v>712.18513894933824</c:v>
                </c:pt>
                <c:pt idx="908">
                  <c:v>712.18513894933824</c:v>
                </c:pt>
                <c:pt idx="909">
                  <c:v>712.18513894933824</c:v>
                </c:pt>
                <c:pt idx="910">
                  <c:v>712.18513894933824</c:v>
                </c:pt>
                <c:pt idx="911">
                  <c:v>712.18513894933824</c:v>
                </c:pt>
                <c:pt idx="912">
                  <c:v>712.18513894933824</c:v>
                </c:pt>
                <c:pt idx="913">
                  <c:v>712.18513894933824</c:v>
                </c:pt>
                <c:pt idx="914">
                  <c:v>712.18513894933824</c:v>
                </c:pt>
                <c:pt idx="915">
                  <c:v>712.18513894933824</c:v>
                </c:pt>
                <c:pt idx="916">
                  <c:v>712.18513894933824</c:v>
                </c:pt>
                <c:pt idx="917">
                  <c:v>712.18513894933824</c:v>
                </c:pt>
                <c:pt idx="918">
                  <c:v>712.18513894933824</c:v>
                </c:pt>
                <c:pt idx="919">
                  <c:v>712.18513894933824</c:v>
                </c:pt>
                <c:pt idx="920">
                  <c:v>712.18513894933824</c:v>
                </c:pt>
                <c:pt idx="921">
                  <c:v>712.18513894933824</c:v>
                </c:pt>
                <c:pt idx="922">
                  <c:v>712.18513894933824</c:v>
                </c:pt>
                <c:pt idx="923">
                  <c:v>712.18513894933824</c:v>
                </c:pt>
                <c:pt idx="924">
                  <c:v>712.18513894933824</c:v>
                </c:pt>
                <c:pt idx="925">
                  <c:v>712.18513894933824</c:v>
                </c:pt>
                <c:pt idx="926">
                  <c:v>712.18513894933824</c:v>
                </c:pt>
                <c:pt idx="927">
                  <c:v>712.18513894933824</c:v>
                </c:pt>
                <c:pt idx="928">
                  <c:v>712.18513894933824</c:v>
                </c:pt>
                <c:pt idx="929">
                  <c:v>712.18513894933824</c:v>
                </c:pt>
                <c:pt idx="930">
                  <c:v>712.18513894933824</c:v>
                </c:pt>
                <c:pt idx="931">
                  <c:v>712.18513894933824</c:v>
                </c:pt>
                <c:pt idx="932">
                  <c:v>712.18513894933824</c:v>
                </c:pt>
                <c:pt idx="933">
                  <c:v>712.18513894933824</c:v>
                </c:pt>
                <c:pt idx="934">
                  <c:v>712.18513894933824</c:v>
                </c:pt>
                <c:pt idx="935">
                  <c:v>712.18513894933824</c:v>
                </c:pt>
                <c:pt idx="936">
                  <c:v>712.18513894933824</c:v>
                </c:pt>
                <c:pt idx="937">
                  <c:v>712.18513894933824</c:v>
                </c:pt>
                <c:pt idx="938">
                  <c:v>712.18513894933824</c:v>
                </c:pt>
                <c:pt idx="939">
                  <c:v>712.18513894933824</c:v>
                </c:pt>
                <c:pt idx="940">
                  <c:v>712.18513894933824</c:v>
                </c:pt>
                <c:pt idx="941">
                  <c:v>712.18513894933824</c:v>
                </c:pt>
                <c:pt idx="942">
                  <c:v>712.18513894933824</c:v>
                </c:pt>
                <c:pt idx="943">
                  <c:v>712.18513894933824</c:v>
                </c:pt>
                <c:pt idx="944">
                  <c:v>712.18513894933824</c:v>
                </c:pt>
                <c:pt idx="945">
                  <c:v>712.18513894933824</c:v>
                </c:pt>
                <c:pt idx="946">
                  <c:v>712.18513894933824</c:v>
                </c:pt>
                <c:pt idx="947">
                  <c:v>712.18513894933824</c:v>
                </c:pt>
                <c:pt idx="948">
                  <c:v>712.18513894933824</c:v>
                </c:pt>
                <c:pt idx="949">
                  <c:v>712.18513894933824</c:v>
                </c:pt>
                <c:pt idx="950">
                  <c:v>712.18513894933824</c:v>
                </c:pt>
                <c:pt idx="951">
                  <c:v>712.18513894933824</c:v>
                </c:pt>
                <c:pt idx="952">
                  <c:v>712.18513894933824</c:v>
                </c:pt>
                <c:pt idx="953">
                  <c:v>712.18513894933824</c:v>
                </c:pt>
                <c:pt idx="954">
                  <c:v>712.18513894933824</c:v>
                </c:pt>
                <c:pt idx="955">
                  <c:v>712.18513894933824</c:v>
                </c:pt>
                <c:pt idx="956">
                  <c:v>712.18513894933824</c:v>
                </c:pt>
                <c:pt idx="957">
                  <c:v>712.18513894933824</c:v>
                </c:pt>
                <c:pt idx="958">
                  <c:v>712.18513894933824</c:v>
                </c:pt>
                <c:pt idx="959">
                  <c:v>712.18513894933824</c:v>
                </c:pt>
                <c:pt idx="960">
                  <c:v>712.18513894933824</c:v>
                </c:pt>
                <c:pt idx="961">
                  <c:v>712.18513894933824</c:v>
                </c:pt>
                <c:pt idx="962">
                  <c:v>712.18513894933824</c:v>
                </c:pt>
                <c:pt idx="963">
                  <c:v>712.18513894933824</c:v>
                </c:pt>
                <c:pt idx="964">
                  <c:v>712.18513894933824</c:v>
                </c:pt>
                <c:pt idx="965">
                  <c:v>712.18513894933824</c:v>
                </c:pt>
                <c:pt idx="966">
                  <c:v>712.18513894933824</c:v>
                </c:pt>
                <c:pt idx="967">
                  <c:v>712.18513894933824</c:v>
                </c:pt>
                <c:pt idx="968">
                  <c:v>712.18513894933824</c:v>
                </c:pt>
                <c:pt idx="969">
                  <c:v>712.18513894933824</c:v>
                </c:pt>
                <c:pt idx="970">
                  <c:v>712.18513894933824</c:v>
                </c:pt>
                <c:pt idx="971">
                  <c:v>712.18513894933824</c:v>
                </c:pt>
                <c:pt idx="972">
                  <c:v>712.18513894933824</c:v>
                </c:pt>
                <c:pt idx="973">
                  <c:v>712.18513894933824</c:v>
                </c:pt>
                <c:pt idx="974">
                  <c:v>712.18513894933824</c:v>
                </c:pt>
                <c:pt idx="975">
                  <c:v>712.18513894933824</c:v>
                </c:pt>
                <c:pt idx="976">
                  <c:v>712.18513894933824</c:v>
                </c:pt>
                <c:pt idx="977">
                  <c:v>712.18513894933824</c:v>
                </c:pt>
                <c:pt idx="978">
                  <c:v>712.18513894933824</c:v>
                </c:pt>
                <c:pt idx="979">
                  <c:v>712.18513894933824</c:v>
                </c:pt>
                <c:pt idx="980">
                  <c:v>712.18513894933824</c:v>
                </c:pt>
                <c:pt idx="981">
                  <c:v>712.18513894933824</c:v>
                </c:pt>
                <c:pt idx="982">
                  <c:v>712.18513894933824</c:v>
                </c:pt>
                <c:pt idx="983">
                  <c:v>712.18513894933824</c:v>
                </c:pt>
                <c:pt idx="984">
                  <c:v>712.18513894933824</c:v>
                </c:pt>
                <c:pt idx="985">
                  <c:v>712.18513894933824</c:v>
                </c:pt>
                <c:pt idx="986">
                  <c:v>712.18513894933824</c:v>
                </c:pt>
                <c:pt idx="987">
                  <c:v>712.18513894933824</c:v>
                </c:pt>
                <c:pt idx="988">
                  <c:v>712.18513894933824</c:v>
                </c:pt>
                <c:pt idx="989">
                  <c:v>712.18513894933824</c:v>
                </c:pt>
                <c:pt idx="990">
                  <c:v>712.18513894933824</c:v>
                </c:pt>
                <c:pt idx="991">
                  <c:v>712.18513894933824</c:v>
                </c:pt>
                <c:pt idx="992">
                  <c:v>712.18513894933824</c:v>
                </c:pt>
                <c:pt idx="993">
                  <c:v>712.18513894933824</c:v>
                </c:pt>
                <c:pt idx="994">
                  <c:v>712.18513894933824</c:v>
                </c:pt>
                <c:pt idx="995">
                  <c:v>712.18513894933824</c:v>
                </c:pt>
                <c:pt idx="996">
                  <c:v>712.18513894933824</c:v>
                </c:pt>
                <c:pt idx="997">
                  <c:v>712.18513894933824</c:v>
                </c:pt>
                <c:pt idx="998">
                  <c:v>712.18513894933824</c:v>
                </c:pt>
                <c:pt idx="999">
                  <c:v>712.18513894933824</c:v>
                </c:pt>
                <c:pt idx="1000">
                  <c:v>712.18513894933824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1856.0996538431443</c:v>
                </c:pt>
                <c:pt idx="302">
                  <c:v>1856.9418870777899</c:v>
                </c:pt>
                <c:pt idx="303">
                  <c:v>1857.6853833193331</c:v>
                </c:pt>
                <c:pt idx="304">
                  <c:v>1858.3302279115285</c:v>
                </c:pt>
                <c:pt idx="305">
                  <c:v>1858.876502323511</c:v>
                </c:pt>
                <c:pt idx="306">
                  <c:v>1859.3242845648954</c:v>
                </c:pt>
                <c:pt idx="307">
                  <c:v>1859.6736496309943</c:v>
                </c:pt>
                <c:pt idx="308">
                  <c:v>1859.9246699762939</c:v>
                </c:pt>
                <c:pt idx="309">
                  <c:v>1860.0774160131207</c:v>
                </c:pt>
                <c:pt idx="310">
                  <c:v>1860.1319566312261</c:v>
                </c:pt>
                <c:pt idx="311">
                  <c:v>1860.0883597329039</c:v>
                </c:pt>
                <c:pt idx="312">
                  <c:v>1859.9466927773403</c:v>
                </c:pt>
                <c:pt idx="313">
                  <c:v>1859.7070233272875</c:v>
                </c:pt>
                <c:pt idx="314">
                  <c:v>1859.3694195908968</c:v>
                </c:pt>
                <c:pt idx="315">
                  <c:v>1858.9339509517044</c:v>
                </c:pt>
                <c:pt idx="316">
                  <c:v>1858.4006884802816</c:v>
                </c:pt>
                <c:pt idx="317">
                  <c:v>1857.7697054219118</c:v>
                </c:pt>
                <c:pt idx="318">
                  <c:v>1857.0410776557305</c:v>
                </c:pt>
                <c:pt idx="319">
                  <c:v>1856.2148841219635</c:v>
                </c:pt>
                <c:pt idx="320">
                  <c:v>1855.2912072151128</c:v>
                </c:pt>
                <c:pt idx="321">
                  <c:v>1854.2701331420892</c:v>
                </c:pt>
                <c:pt idx="322">
                  <c:v>1853.1517522452896</c:v>
                </c:pt>
                <c:pt idx="323">
                  <c:v>1851.9361592914554</c:v>
                </c:pt>
                <c:pt idx="324">
                  <c:v>1850.6234537277785</c:v>
                </c:pt>
                <c:pt idx="325">
                  <c:v>1849.2137399071767</c:v>
                </c:pt>
                <c:pt idx="326">
                  <c:v>1847.7071272849394</c:v>
                </c:pt>
                <c:pt idx="327">
                  <c:v>1846.1037305890895</c:v>
                </c:pt>
                <c:pt idx="328">
                  <c:v>1844.4036699668316</c:v>
                </c:pt>
                <c:pt idx="329">
                  <c:v>1842.6070711094069</c:v>
                </c:pt>
                <c:pt idx="330">
                  <c:v>1840.7140653575625</c:v>
                </c:pt>
                <c:pt idx="331">
                  <c:v>1838.724789789688</c:v>
                </c:pt>
                <c:pt idx="332">
                  <c:v>1836.6393872945109</c:v>
                </c:pt>
                <c:pt idx="333">
                  <c:v>1834.4580066300575</c:v>
                </c:pt>
                <c:pt idx="334">
                  <c:v>1832.1808024704153</c:v>
                </c:pt>
                <c:pt idx="335">
                  <c:v>1829.8079354416609</c:v>
                </c:pt>
                <c:pt idx="336">
                  <c:v>1827.339572148162</c:v>
                </c:pt>
                <c:pt idx="337">
                  <c:v>1824.7758851903159</c:v>
                </c:pt>
                <c:pt idx="338">
                  <c:v>1822.1170531746593</c:v>
                </c:pt>
                <c:pt idx="339">
                  <c:v>1819.3632607171646</c:v>
                </c:pt>
                <c:pt idx="340">
                  <c:v>1816.5146984404362</c:v>
                </c:pt>
                <c:pt idx="341">
                  <c:v>1813.5715629654303</c:v>
                </c:pt>
                <c:pt idx="342">
                  <c:v>1810.5340568982417</c:v>
                </c:pt>
                <c:pt idx="343">
                  <c:v>1807.4023888124318</c:v>
                </c:pt>
                <c:pt idx="344">
                  <c:v>1804.1767732273115</c:v>
                </c:pt>
                <c:pt idx="345">
                  <c:v>1800.8574305825434</c:v>
                </c:pt>
                <c:pt idx="346">
                  <c:v>1797.4445872093788</c:v>
                </c:pt>
                <c:pt idx="347">
                  <c:v>1793.9384752988101</c:v>
                </c:pt>
                <c:pt idx="348">
                  <c:v>1790.3393328668824</c:v>
                </c:pt>
                <c:pt idx="349">
                  <c:v>1786.6474037173818</c:v>
                </c:pt>
                <c:pt idx="350">
                  <c:v>1782.8629374020923</c:v>
                </c:pt>
                <c:pt idx="351">
                  <c:v>1778.9861891787893</c:v>
                </c:pt>
                <c:pt idx="352">
                  <c:v>1775.0174199671246</c:v>
                </c:pt>
                <c:pt idx="353">
                  <c:v>1770.9568963025347</c:v>
                </c:pt>
                <c:pt idx="354">
                  <c:v>1766.804890288297</c:v>
                </c:pt>
                <c:pt idx="355">
                  <c:v>1762.5616795458432</c:v>
                </c:pt>
                <c:pt idx="356">
                  <c:v>1758.2275471634282</c:v>
                </c:pt>
                <c:pt idx="357">
                  <c:v>1753.8027816432457</c:v>
                </c:pt>
                <c:pt idx="358">
                  <c:v>1749.2876768470735</c:v>
                </c:pt>
                <c:pt idx="359">
                  <c:v>1744.6825319405252</c:v>
                </c:pt>
                <c:pt idx="360">
                  <c:v>1739.9876513359757</c:v>
                </c:pt>
                <c:pt idx="361">
                  <c:v>1735.2033446342293</c:v>
                </c:pt>
                <c:pt idx="362">
                  <c:v>1730.3299265649887</c:v>
                </c:pt>
                <c:pt idx="363">
                  <c:v>1725.3677169261816</c:v>
                </c:pt>
                <c:pt idx="364">
                  <c:v>1720.3170405222002</c:v>
                </c:pt>
                <c:pt idx="365">
                  <c:v>1715.1782271011011</c:v>
                </c:pt>
                <c:pt idx="366">
                  <c:v>1709.9516112908175</c:v>
                </c:pt>
                <c:pt idx="367">
                  <c:v>1704.6375325344245</c:v>
                </c:pt>
                <c:pt idx="368">
                  <c:v>1699.236335024505</c:v>
                </c:pt>
                <c:pt idx="369">
                  <c:v>1693.7483676366564</c:v>
                </c:pt>
                <c:pt idx="370">
                  <c:v>1688.1739838621781</c:v>
                </c:pt>
                <c:pt idx="371">
                  <c:v>1682.5135417399792</c:v>
                </c:pt>
                <c:pt idx="372">
                  <c:v>1676.7674037877441</c:v>
                </c:pt>
                <c:pt idx="373">
                  <c:v>1670.9359369323925</c:v>
                </c:pt>
                <c:pt idx="374">
                  <c:v>1665.0195124398681</c:v>
                </c:pt>
                <c:pt idx="375">
                  <c:v>1659.0185058442942</c:v>
                </c:pt>
                <c:pt idx="376">
                  <c:v>1652.9332968765252</c:v>
                </c:pt>
                <c:pt idx="377">
                  <c:v>1646.7642693921312</c:v>
                </c:pt>
                <c:pt idx="378">
                  <c:v>1640.5118112988462</c:v>
                </c:pt>
                <c:pt idx="379">
                  <c:v>1634.1763144835131</c:v>
                </c:pt>
                <c:pt idx="380">
                  <c:v>1627.7581747385559</c:v>
                </c:pt>
                <c:pt idx="381">
                  <c:v>1621.2577916880093</c:v>
                </c:pt>
                <c:pt idx="382">
                  <c:v>1614.6755687131385</c:v>
                </c:pt>
                <c:pt idx="383">
                  <c:v>1608.0119128776773</c:v>
                </c:pt>
                <c:pt idx="384">
                  <c:v>1601.267234852714</c:v>
                </c:pt>
                <c:pt idx="385">
                  <c:v>1594.441948841255</c:v>
                </c:pt>
                <c:pt idx="386">
                  <c:v>1587.5364725024954</c:v>
                </c:pt>
                <c:pt idx="387">
                  <c:v>1580.5512268758225</c:v>
                </c:pt>
                <c:pt idx="388">
                  <c:v>1573.486636304584</c:v>
                </c:pt>
                <c:pt idx="389">
                  <c:v>1566.343128359644</c:v>
                </c:pt>
                <c:pt idx="390">
                  <c:v>1559.1211337627597</c:v>
                </c:pt>
                <c:pt idx="391">
                  <c:v>1551.8210863098002</c:v>
                </c:pt>
                <c:pt idx="392">
                  <c:v>1544.443422793838</c:v>
                </c:pt>
                <c:pt idx="393">
                  <c:v>1536.9885829281377</c:v>
                </c:pt>
                <c:pt idx="394">
                  <c:v>1529.4570092690697</c:v>
                </c:pt>
                <c:pt idx="395">
                  <c:v>1521.8491471389714</c:v>
                </c:pt>
                <c:pt idx="396">
                  <c:v>1514.1654445489853</c:v>
                </c:pt>
                <c:pt idx="397">
                  <c:v>1506.4063521218961</c:v>
                </c:pt>
                <c:pt idx="398">
                  <c:v>1498.5723230149927</c:v>
                </c:pt>
                <c:pt idx="399">
                  <c:v>1490.6638128429795</c:v>
                </c:pt>
                <c:pt idx="400">
                  <c:v>1482.6812796009613</c:v>
                </c:pt>
                <c:pt idx="401">
                  <c:v>1474.6251835875237</c:v>
                </c:pt>
                <c:pt idx="402">
                  <c:v>1466.4959873279361</c:v>
                </c:pt>
                <c:pt idx="403">
                  <c:v>1458.2941554974966</c:v>
                </c:pt>
                <c:pt idx="404">
                  <c:v>1450.0201548450436</c:v>
                </c:pt>
                <c:pt idx="405">
                  <c:v>1441.6744541166561</c:v>
                </c:pt>
                <c:pt idx="406">
                  <c:v>1433.257523979564</c:v>
                </c:pt>
                <c:pt idx="407">
                  <c:v>1424.7698369462914</c:v>
                </c:pt>
                <c:pt idx="408">
                  <c:v>1416.2118672990528</c:v>
                </c:pt>
                <c:pt idx="409">
                  <c:v>1407.5840910144236</c:v>
                </c:pt>
                <c:pt idx="410">
                  <c:v>1398.8869856883068</c:v>
                </c:pt>
                <c:pt idx="411">
                  <c:v>1390.121030461213</c:v>
                </c:pt>
                <c:pt idx="412">
                  <c:v>1381.2867059438765</c:v>
                </c:pt>
                <c:pt idx="413">
                  <c:v>1372.3844941432262</c:v>
                </c:pt>
                <c:pt idx="414">
                  <c:v>1363.4148783887283</c:v>
                </c:pt>
                <c:pt idx="415">
                  <c:v>1354.3783432591226</c:v>
                </c:pt>
                <c:pt idx="416">
                  <c:v>1345.2753745095681</c:v>
                </c:pt>
                <c:pt idx="417">
                  <c:v>1336.1064589992166</c:v>
                </c:pt>
                <c:pt idx="418">
                  <c:v>1326.872084619233</c:v>
                </c:pt>
                <c:pt idx="419">
                  <c:v>1317.5727402212767</c:v>
                </c:pt>
                <c:pt idx="420">
                  <c:v>1308.2089155464632</c:v>
                </c:pt>
                <c:pt idx="421">
                  <c:v>1298.7811011548206</c:v>
                </c:pt>
                <c:pt idx="422">
                  <c:v>1289.2897883552575</c:v>
                </c:pt>
                <c:pt idx="423">
                  <c:v>1279.7354691360581</c:v>
                </c:pt>
                <c:pt idx="424">
                  <c:v>1270.1186360959177</c:v>
                </c:pt>
                <c:pt idx="425">
                  <c:v>1260.4397823755357</c:v>
                </c:pt>
                <c:pt idx="426">
                  <c:v>1250.6994015897785</c:v>
                </c:pt>
                <c:pt idx="427">
                  <c:v>1240.8979877604258</c:v>
                </c:pt>
                <c:pt idx="428">
                  <c:v>1231.0360352495161</c:v>
                </c:pt>
                <c:pt idx="429">
                  <c:v>1221.1140386933005</c:v>
                </c:pt>
                <c:pt idx="430">
                  <c:v>1211.1324929368211</c:v>
                </c:pt>
                <c:pt idx="431">
                  <c:v>1201.0918929691229</c:v>
                </c:pt>
                <c:pt idx="432">
                  <c:v>1190.9927338591137</c:v>
                </c:pt>
                <c:pt idx="433">
                  <c:v>1180.8355106920806</c:v>
                </c:pt>
                <c:pt idx="434">
                  <c:v>1170.6207185068754</c:v>
                </c:pt>
                <c:pt idx="435">
                  <c:v>1160.3488522337798</c:v>
                </c:pt>
                <c:pt idx="436">
                  <c:v>1150.0204066330589</c:v>
                </c:pt>
                <c:pt idx="437">
                  <c:v>1139.6358762342136</c:v>
                </c:pt>
                <c:pt idx="438">
                  <c:v>1129.19575527594</c:v>
                </c:pt>
                <c:pt idx="439">
                  <c:v>1118.7005376468071</c:v>
                </c:pt>
                <c:pt idx="440">
                  <c:v>1108.1507168266571</c:v>
                </c:pt>
                <c:pt idx="441">
                  <c:v>1097.5467858287409</c:v>
                </c:pt>
                <c:pt idx="442">
                  <c:v>1086.8892371425914</c:v>
                </c:pt>
                <c:pt idx="443">
                  <c:v>1076.1785626776464</c:v>
                </c:pt>
                <c:pt idx="444">
                  <c:v>1065.4152537076252</c:v>
                </c:pt>
                <c:pt idx="445">
                  <c:v>1054.5998008156648</c:v>
                </c:pt>
                <c:pt idx="446">
                  <c:v>1043.7326938402239</c:v>
                </c:pt>
                <c:pt idx="447">
                  <c:v>1032.8144218217576</c:v>
                </c:pt>
                <c:pt idx="448">
                  <c:v>1021.8454729501716</c:v>
                </c:pt>
                <c:pt idx="449">
                  <c:v>1010.8263345130558</c:v>
                </c:pt>
                <c:pt idx="450">
                  <c:v>999.75749284470635</c:v>
                </c:pt>
                <c:pt idx="451">
                  <c:v>988.63943327593756</c:v>
                </c:pt>
                <c:pt idx="452">
                  <c:v>977.47264008468778</c:v>
                </c:pt>
                <c:pt idx="453">
                  <c:v>966.25759644742368</c:v>
                </c:pt>
                <c:pt idx="454">
                  <c:v>954.99478439134407</c:v>
                </c:pt>
                <c:pt idx="455">
                  <c:v>943.68468474738756</c:v>
                </c:pt>
                <c:pt idx="456">
                  <c:v>932.32777710404548</c:v>
                </c:pt>
                <c:pt idx="457">
                  <c:v>920.9245397619818</c:v>
                </c:pt>
                <c:pt idx="458">
                  <c:v>909.47544968946227</c:v>
                </c:pt>
                <c:pt idx="459">
                  <c:v>897.98098247859355</c:v>
                </c:pt>
                <c:pt idx="460">
                  <c:v>886.4416123023733</c:v>
                </c:pt>
                <c:pt idx="461">
                  <c:v>874.85781187255202</c:v>
                </c:pt>
                <c:pt idx="462">
                  <c:v>863.23005239830673</c:v>
                </c:pt>
                <c:pt idx="463">
                  <c:v>851.55880354572628</c:v>
                </c:pt>
                <c:pt idx="464">
                  <c:v>839.84453339810875</c:v>
                </c:pt>
                <c:pt idx="465">
                  <c:v>828.08770841706894</c:v>
                </c:pt>
                <c:pt idx="466">
                  <c:v>816.2887934044561</c:v>
                </c:pt>
                <c:pt idx="467">
                  <c:v>804.44825146508026</c:v>
                </c:pt>
                <c:pt idx="468">
                  <c:v>792.56654397024568</c:v>
                </c:pt>
                <c:pt idx="469">
                  <c:v>780.64413052208988</c:v>
                </c:pt>
                <c:pt idx="470">
                  <c:v>768.68146891872516</c:v>
                </c:pt>
                <c:pt idx="471">
                  <c:v>756.67901512018193</c:v>
                </c:pt>
                <c:pt idx="472">
                  <c:v>744.63722321514979</c:v>
                </c:pt>
                <c:pt idx="473">
                  <c:v>732.556545388514</c:v>
                </c:pt>
                <c:pt idx="474">
                  <c:v>720.4374318896846</c:v>
                </c:pt>
                <c:pt idx="475">
                  <c:v>708.28033100171456</c:v>
                </c:pt>
                <c:pt idx="476">
                  <c:v>696.08568901120293</c:v>
                </c:pt>
                <c:pt idx="477">
                  <c:v>683.85395017897997</c:v>
                </c:pt>
                <c:pt idx="478">
                  <c:v>671.58555671156978</c:v>
                </c:pt>
                <c:pt idx="479">
                  <c:v>659.28094873342627</c:v>
                </c:pt>
                <c:pt idx="480">
                  <c:v>646.94056425993801</c:v>
                </c:pt>
                <c:pt idx="481">
                  <c:v>634.56483917119704</c:v>
                </c:pt>
                <c:pt idx="482">
                  <c:v>622.15420718652763</c:v>
                </c:pt>
                <c:pt idx="483">
                  <c:v>609.70909983976878</c:v>
                </c:pt>
                <c:pt idx="484">
                  <c:v>597.22994645530594</c:v>
                </c:pt>
                <c:pt idx="485">
                  <c:v>584.71717412484657</c:v>
                </c:pt>
                <c:pt idx="486">
                  <c:v>572.17120768493362</c:v>
                </c:pt>
                <c:pt idx="487">
                  <c:v>559.59246969519131</c:v>
                </c:pt>
                <c:pt idx="488">
                  <c:v>546.98138041729726</c:v>
                </c:pt>
                <c:pt idx="489">
                  <c:v>534.33835779467495</c:v>
                </c:pt>
                <c:pt idx="490">
                  <c:v>521.66381743290049</c:v>
                </c:pt>
                <c:pt idx="491">
                  <c:v>508.95817258081655</c:v>
                </c:pt>
                <c:pt idx="492">
                  <c:v>496.22183411234835</c:v>
                </c:pt>
                <c:pt idx="493">
                  <c:v>483.45521050901328</c:v>
                </c:pt>
                <c:pt idx="494">
                  <c:v>470.65870784311909</c:v>
                </c:pt>
                <c:pt idx="495">
                  <c:v>457.83272976164261</c:v>
                </c:pt>
                <c:pt idx="496">
                  <c:v>444.97767747078251</c:v>
                </c:pt>
                <c:pt idx="497">
                  <c:v>432.09394972117883</c:v>
                </c:pt>
                <c:pt idx="498">
                  <c:v>419.18194279379236</c:v>
                </c:pt>
                <c:pt idx="499">
                  <c:v>406.24205048643597</c:v>
                </c:pt>
                <c:pt idx="500">
                  <c:v>393.27466410095116</c:v>
                </c:pt>
                <c:pt idx="501">
                  <c:v>380.28017243102175</c:v>
                </c:pt>
                <c:pt idx="502">
                  <c:v>367.2589617506178</c:v>
                </c:pt>
                <c:pt idx="503">
                  <c:v>354.2114158030613</c:v>
                </c:pt>
                <c:pt idx="504">
                  <c:v>341.13791579070664</c:v>
                </c:pt>
                <c:pt idx="505">
                  <c:v>328.03884036522766</c:v>
                </c:pt>
                <c:pt idx="506">
                  <c:v>314.91456561850367</c:v>
                </c:pt>
                <c:pt idx="507">
                  <c:v>301.76546507409626</c:v>
                </c:pt>
                <c:pt idx="508">
                  <c:v>288.5919096793092</c:v>
                </c:pt>
                <c:pt idx="509">
                  <c:v>275.3942677978232</c:v>
                </c:pt>
                <c:pt idx="510">
                  <c:v>262.17290520289799</c:v>
                </c:pt>
                <c:pt idx="511">
                  <c:v>248.92818507113265</c:v>
                </c:pt>
                <c:pt idx="512">
                  <c:v>235.66046797677723</c:v>
                </c:pt>
                <c:pt idx="513">
                  <c:v>222.37011188658673</c:v>
                </c:pt>
                <c:pt idx="514">
                  <c:v>209.05747215520947</c:v>
                </c:pt>
                <c:pt idx="515">
                  <c:v>195.72290152110168</c:v>
                </c:pt>
                <c:pt idx="516">
                  <c:v>182.36675010296022</c:v>
                </c:pt>
                <c:pt idx="517">
                  <c:v>168.98936539666505</c:v>
                </c:pt>
                <c:pt idx="518">
                  <c:v>155.59109227272305</c:v>
                </c:pt>
                <c:pt idx="519">
                  <c:v>142.1722729742055</c:v>
                </c:pt>
                <c:pt idx="520">
                  <c:v>128.73324711517037</c:v>
                </c:pt>
                <c:pt idx="521">
                  <c:v>115.27435167956151</c:v>
                </c:pt>
                <c:pt idx="522">
                  <c:v>101.79592102057647</c:v>
                </c:pt>
                <c:pt idx="523">
                  <c:v>88.298286860494756</c:v>
                </c:pt>
                <c:pt idx="524">
                  <c:v>74.781778290958073</c:v>
                </c:pt>
                <c:pt idx="525">
                  <c:v>61.246721773694752</c:v>
                </c:pt>
                <c:pt idx="526">
                  <c:v>47.693441141679791</c:v>
                </c:pt>
                <c:pt idx="527">
                  <c:v>34.122257600722669</c:v>
                </c:pt>
                <c:pt idx="528">
                  <c:v>20.533489731474582</c:v>
                </c:pt>
                <c:pt idx="529">
                  <c:v>6.9274534918471407</c:v>
                </c:pt>
                <c:pt idx="530">
                  <c:v>-6.6955377801656066</c:v>
                </c:pt>
                <c:pt idx="531">
                  <c:v>-6.7091691791914165</c:v>
                </c:pt>
                <c:pt idx="532">
                  <c:v>-6.7228005947066771</c:v>
                </c:pt>
                <c:pt idx="533">
                  <c:v>-6.7364320267110829</c:v>
                </c:pt>
                <c:pt idx="534">
                  <c:v>-6.7500634752043274</c:v>
                </c:pt>
                <c:pt idx="535">
                  <c:v>-6.7636949401861042</c:v>
                </c:pt>
                <c:pt idx="536">
                  <c:v>-6.7773264216561069</c:v>
                </c:pt>
                <c:pt idx="537">
                  <c:v>-6.7909579196140291</c:v>
                </c:pt>
                <c:pt idx="538">
                  <c:v>-6.8045894340595652</c:v>
                </c:pt>
                <c:pt idx="539">
                  <c:v>-6.8182209649924079</c:v>
                </c:pt>
                <c:pt idx="540">
                  <c:v>-6.8318525124122518</c:v>
                </c:pt>
                <c:pt idx="541">
                  <c:v>-6.8454840763187903</c:v>
                </c:pt>
                <c:pt idx="542">
                  <c:v>-6.8591156567117171</c:v>
                </c:pt>
                <c:pt idx="543">
                  <c:v>-6.8727472535907266</c:v>
                </c:pt>
                <c:pt idx="544">
                  <c:v>-6.8863788669555124</c:v>
                </c:pt>
                <c:pt idx="545">
                  <c:v>-6.9000104968057681</c:v>
                </c:pt>
                <c:pt idx="546">
                  <c:v>-6.9136421431411872</c:v>
                </c:pt>
                <c:pt idx="547">
                  <c:v>-6.9272738059614634</c:v>
                </c:pt>
                <c:pt idx="548">
                  <c:v>-6.940905485266291</c:v>
                </c:pt>
                <c:pt idx="549">
                  <c:v>-6.9545371810553629</c:v>
                </c:pt>
                <c:pt idx="550">
                  <c:v>-6.9681688933283734</c:v>
                </c:pt>
                <c:pt idx="551">
                  <c:v>-6.9818006220850171</c:v>
                </c:pt>
                <c:pt idx="552">
                  <c:v>-6.9954323673249865</c:v>
                </c:pt>
                <c:pt idx="553">
                  <c:v>-7.0090641290479763</c:v>
                </c:pt>
                <c:pt idx="554">
                  <c:v>-7.0226959072536799</c:v>
                </c:pt>
                <c:pt idx="555">
                  <c:v>-7.0363277019417909</c:v>
                </c:pt>
                <c:pt idx="556">
                  <c:v>-7.049959513112003</c:v>
                </c:pt>
                <c:pt idx="557">
                  <c:v>-7.0635913407640105</c:v>
                </c:pt>
                <c:pt idx="558">
                  <c:v>-7.0772231848975071</c:v>
                </c:pt>
                <c:pt idx="559">
                  <c:v>-7.0908550455121864</c:v>
                </c:pt>
                <c:pt idx="560">
                  <c:v>-7.1044869226077418</c:v>
                </c:pt>
                <c:pt idx="561">
                  <c:v>-7.118118816183868</c:v>
                </c:pt>
                <c:pt idx="562">
                  <c:v>-7.1317507262402584</c:v>
                </c:pt>
                <c:pt idx="563">
                  <c:v>-7.1453826527766067</c:v>
                </c:pt>
                <c:pt idx="564">
                  <c:v>-7.1590145957926064</c:v>
                </c:pt>
                <c:pt idx="565">
                  <c:v>-7.1726465552879519</c:v>
                </c:pt>
                <c:pt idx="566">
                  <c:v>-7.186278531262337</c:v>
                </c:pt>
                <c:pt idx="567">
                  <c:v>-7.199910523715455</c:v>
                </c:pt>
                <c:pt idx="568">
                  <c:v>-7.2135425326470006</c:v>
                </c:pt>
                <c:pt idx="569">
                  <c:v>-7.2271745580566664</c:v>
                </c:pt>
                <c:pt idx="570">
                  <c:v>-7.2408065999441469</c:v>
                </c:pt>
                <c:pt idx="571">
                  <c:v>-7.2544386583091365</c:v>
                </c:pt>
                <c:pt idx="572">
                  <c:v>-7.2680707331513279</c:v>
                </c:pt>
                <c:pt idx="573">
                  <c:v>-7.2817028244704156</c:v>
                </c:pt>
                <c:pt idx="574">
                  <c:v>-7.2953349322660941</c:v>
                </c:pt>
                <c:pt idx="575">
                  <c:v>-7.308967056538056</c:v>
                </c:pt>
                <c:pt idx="576">
                  <c:v>-7.3225991972859958</c:v>
                </c:pt>
                <c:pt idx="577">
                  <c:v>-7.3362313545096072</c:v>
                </c:pt>
                <c:pt idx="578">
                  <c:v>-7.3498635282085836</c:v>
                </c:pt>
                <c:pt idx="579">
                  <c:v>-7.3634957183826195</c:v>
                </c:pt>
                <c:pt idx="580">
                  <c:v>-7.3771279250314086</c:v>
                </c:pt>
                <c:pt idx="581">
                  <c:v>-7.3907601481546452</c:v>
                </c:pt>
                <c:pt idx="582">
                  <c:v>-7.4043923877520221</c:v>
                </c:pt>
                <c:pt idx="583">
                  <c:v>-7.4180246438232338</c:v>
                </c:pt>
                <c:pt idx="584">
                  <c:v>-7.4316569163679747</c:v>
                </c:pt>
                <c:pt idx="585">
                  <c:v>-7.4452892053859374</c:v>
                </c:pt>
                <c:pt idx="586">
                  <c:v>-7.4589215108768165</c:v>
                </c:pt>
                <c:pt idx="587">
                  <c:v>-7.4725538328403065</c:v>
                </c:pt>
                <c:pt idx="588">
                  <c:v>-7.4861861712761</c:v>
                </c:pt>
                <c:pt idx="589">
                  <c:v>-7.4998185261838914</c:v>
                </c:pt>
                <c:pt idx="590">
                  <c:v>-7.5134508975633745</c:v>
                </c:pt>
                <c:pt idx="591">
                  <c:v>-7.5270832854142435</c:v>
                </c:pt>
                <c:pt idx="592">
                  <c:v>-7.5407156897361922</c:v>
                </c:pt>
                <c:pt idx="593">
                  <c:v>-7.5543481105289141</c:v>
                </c:pt>
                <c:pt idx="594">
                  <c:v>-7.5679805477921036</c:v>
                </c:pt>
                <c:pt idx="595">
                  <c:v>-7.5816130015254544</c:v>
                </c:pt>
                <c:pt idx="596">
                  <c:v>-7.5952454717286608</c:v>
                </c:pt>
                <c:pt idx="597">
                  <c:v>-7.6088779584014157</c:v>
                </c:pt>
                <c:pt idx="598">
                  <c:v>-7.6225104615434143</c:v>
                </c:pt>
                <c:pt idx="599">
                  <c:v>-7.6361429811543493</c:v>
                </c:pt>
                <c:pt idx="600">
                  <c:v>-7.6497755172339152</c:v>
                </c:pt>
                <c:pt idx="601">
                  <c:v>-7.6634080697818057</c:v>
                </c:pt>
                <c:pt idx="602">
                  <c:v>-7.677040638797715</c:v>
                </c:pt>
                <c:pt idx="603">
                  <c:v>-7.6906732242813369</c:v>
                </c:pt>
                <c:pt idx="604">
                  <c:v>-7.7043058262323649</c:v>
                </c:pt>
                <c:pt idx="605">
                  <c:v>-7.7179384446504935</c:v>
                </c:pt>
                <c:pt idx="606">
                  <c:v>-7.7315710795354162</c:v>
                </c:pt>
                <c:pt idx="607">
                  <c:v>-7.7452037308868276</c:v>
                </c:pt>
                <c:pt idx="608">
                  <c:v>-7.7588363987044202</c:v>
                </c:pt>
                <c:pt idx="609">
                  <c:v>-7.7724690829878895</c:v>
                </c:pt>
                <c:pt idx="610">
                  <c:v>-7.7861017837369291</c:v>
                </c:pt>
                <c:pt idx="611">
                  <c:v>-7.7997345009512324</c:v>
                </c:pt>
                <c:pt idx="612">
                  <c:v>-7.8133672346304932</c:v>
                </c:pt>
                <c:pt idx="613">
                  <c:v>-7.8269999847744058</c:v>
                </c:pt>
                <c:pt idx="614">
                  <c:v>-7.8406327513826639</c:v>
                </c:pt>
                <c:pt idx="615">
                  <c:v>-7.8542655344549619</c:v>
                </c:pt>
                <c:pt idx="616">
                  <c:v>-7.8678983339909934</c:v>
                </c:pt>
                <c:pt idx="617">
                  <c:v>-7.8815311499904528</c:v>
                </c:pt>
                <c:pt idx="618">
                  <c:v>-7.8951639824530337</c:v>
                </c:pt>
                <c:pt idx="619">
                  <c:v>-7.9087968313784298</c:v>
                </c:pt>
                <c:pt idx="620">
                  <c:v>-7.9224296967663355</c:v>
                </c:pt>
                <c:pt idx="621">
                  <c:v>-7.9360625786164452</c:v>
                </c:pt>
                <c:pt idx="622">
                  <c:v>-7.9496954769284516</c:v>
                </c:pt>
                <c:pt idx="623">
                  <c:v>-7.9633283917020492</c:v>
                </c:pt>
                <c:pt idx="624">
                  <c:v>-7.9769613229369325</c:v>
                </c:pt>
                <c:pt idx="625">
                  <c:v>-7.990594270632795</c:v>
                </c:pt>
                <c:pt idx="626">
                  <c:v>-8.0042272347893313</c:v>
                </c:pt>
                <c:pt idx="627">
                  <c:v>-8.0178602154062339</c:v>
                </c:pt>
                <c:pt idx="628">
                  <c:v>-8.0314932124831984</c:v>
                </c:pt>
                <c:pt idx="629">
                  <c:v>-8.0451262260199172</c:v>
                </c:pt>
                <c:pt idx="630">
                  <c:v>-8.058759256016085</c:v>
                </c:pt>
                <c:pt idx="631">
                  <c:v>-8.0723923024713962</c:v>
                </c:pt>
                <c:pt idx="632">
                  <c:v>-8.0860253653855452</c:v>
                </c:pt>
                <c:pt idx="633">
                  <c:v>-8.0996584447582247</c:v>
                </c:pt>
                <c:pt idx="634">
                  <c:v>-8.1132915405891293</c:v>
                </c:pt>
                <c:pt idx="635">
                  <c:v>-8.1269246528779533</c:v>
                </c:pt>
                <c:pt idx="636">
                  <c:v>-8.1405577816243913</c:v>
                </c:pt>
                <c:pt idx="637">
                  <c:v>-8.1541909268281358</c:v>
                </c:pt>
                <c:pt idx="638">
                  <c:v>-8.1678240884888815</c:v>
                </c:pt>
                <c:pt idx="639">
                  <c:v>-8.1814572666063228</c:v>
                </c:pt>
                <c:pt idx="640">
                  <c:v>-8.1950904611801523</c:v>
                </c:pt>
                <c:pt idx="641">
                  <c:v>-8.2087236722100663</c:v>
                </c:pt>
                <c:pt idx="642">
                  <c:v>-8.2223568996957574</c:v>
                </c:pt>
                <c:pt idx="643">
                  <c:v>-8.2359901436369185</c:v>
                </c:pt>
                <c:pt idx="644">
                  <c:v>-8.2496234040332457</c:v>
                </c:pt>
                <c:pt idx="645">
                  <c:v>-8.2632566808844317</c:v>
                </c:pt>
                <c:pt idx="646">
                  <c:v>-8.2768899741901709</c:v>
                </c:pt>
                <c:pt idx="647">
                  <c:v>-8.2905232839501579</c:v>
                </c:pt>
                <c:pt idx="648">
                  <c:v>-8.3041566101640854</c:v>
                </c:pt>
                <c:pt idx="649">
                  <c:v>-8.3177899528316495</c:v>
                </c:pt>
                <c:pt idx="650">
                  <c:v>-8.3314233119525429</c:v>
                </c:pt>
                <c:pt idx="651">
                  <c:v>-8.3450566875264585</c:v>
                </c:pt>
                <c:pt idx="652">
                  <c:v>-8.3586900795530923</c:v>
                </c:pt>
                <c:pt idx="653">
                  <c:v>-8.3723234880321371</c:v>
                </c:pt>
                <c:pt idx="654">
                  <c:v>-8.3859569129632874</c:v>
                </c:pt>
                <c:pt idx="655">
                  <c:v>-8.3995903543462376</c:v>
                </c:pt>
                <c:pt idx="656">
                  <c:v>-8.4132238121806822</c:v>
                </c:pt>
                <c:pt idx="657">
                  <c:v>-8.4268572864663138</c:v>
                </c:pt>
                <c:pt idx="658">
                  <c:v>-8.440490777202827</c:v>
                </c:pt>
                <c:pt idx="659">
                  <c:v>-8.4541242843899163</c:v>
                </c:pt>
                <c:pt idx="660">
                  <c:v>-8.467757808027276</c:v>
                </c:pt>
                <c:pt idx="661">
                  <c:v>-8.4813913481145988</c:v>
                </c:pt>
                <c:pt idx="662">
                  <c:v>-8.4950249046515793</c:v>
                </c:pt>
                <c:pt idx="663">
                  <c:v>-8.5086584776379119</c:v>
                </c:pt>
                <c:pt idx="664">
                  <c:v>-8.5222920670732911</c:v>
                </c:pt>
                <c:pt idx="665">
                  <c:v>-8.5359256729574113</c:v>
                </c:pt>
                <c:pt idx="666">
                  <c:v>-8.5495592952899653</c:v>
                </c:pt>
                <c:pt idx="667">
                  <c:v>-8.5631929340706474</c:v>
                </c:pt>
                <c:pt idx="668">
                  <c:v>-8.5768265892991522</c:v>
                </c:pt>
                <c:pt idx="669">
                  <c:v>-8.5904602609751741</c:v>
                </c:pt>
                <c:pt idx="670">
                  <c:v>-8.6040939490984059</c:v>
                </c:pt>
                <c:pt idx="671">
                  <c:v>-8.6177276536685419</c:v>
                </c:pt>
                <c:pt idx="672">
                  <c:v>-8.6313613746852766</c:v>
                </c:pt>
                <c:pt idx="673">
                  <c:v>-8.6449951121483046</c:v>
                </c:pt>
                <c:pt idx="674">
                  <c:v>-8.6586288660573203</c:v>
                </c:pt>
                <c:pt idx="675">
                  <c:v>-8.6722626364120163</c:v>
                </c:pt>
                <c:pt idx="676">
                  <c:v>-8.6858964232120872</c:v>
                </c:pt>
                <c:pt idx="677">
                  <c:v>-8.6995302264572274</c:v>
                </c:pt>
                <c:pt idx="678">
                  <c:v>-8.7131640461471314</c:v>
                </c:pt>
                <c:pt idx="679">
                  <c:v>-8.7267978822814936</c:v>
                </c:pt>
                <c:pt idx="680">
                  <c:v>-8.7404317348600067</c:v>
                </c:pt>
                <c:pt idx="681">
                  <c:v>-8.7540656038823652</c:v>
                </c:pt>
                <c:pt idx="682">
                  <c:v>-8.7676994893482636</c:v>
                </c:pt>
                <c:pt idx="683">
                  <c:v>-8.7813333912573963</c:v>
                </c:pt>
                <c:pt idx="684">
                  <c:v>-8.7949673096094578</c:v>
                </c:pt>
                <c:pt idx="685">
                  <c:v>-8.8086012444041408</c:v>
                </c:pt>
                <c:pt idx="686">
                  <c:v>-8.8222351956411416</c:v>
                </c:pt>
                <c:pt idx="687">
                  <c:v>-8.8358691633201527</c:v>
                </c:pt>
                <c:pt idx="688">
                  <c:v>-8.849503147440867</c:v>
                </c:pt>
                <c:pt idx="689">
                  <c:v>-8.8631371480029806</c:v>
                </c:pt>
                <c:pt idx="690">
                  <c:v>-8.876771165006188</c:v>
                </c:pt>
                <c:pt idx="691">
                  <c:v>-8.890405198450182</c:v>
                </c:pt>
                <c:pt idx="692">
                  <c:v>-8.9040392483346569</c:v>
                </c:pt>
                <c:pt idx="693">
                  <c:v>-8.9176733146593072</c:v>
                </c:pt>
                <c:pt idx="694">
                  <c:v>-8.9313073974238275</c:v>
                </c:pt>
                <c:pt idx="695">
                  <c:v>-8.9449414966279104</c:v>
                </c:pt>
                <c:pt idx="696">
                  <c:v>-8.9585756122712521</c:v>
                </c:pt>
                <c:pt idx="697">
                  <c:v>-8.9722097443535453</c:v>
                </c:pt>
                <c:pt idx="698">
                  <c:v>-8.9858438928744846</c:v>
                </c:pt>
                <c:pt idx="699">
                  <c:v>-8.9994780578337643</c:v>
                </c:pt>
                <c:pt idx="700">
                  <c:v>-9.013112239231079</c:v>
                </c:pt>
                <c:pt idx="701">
                  <c:v>-9.0267464370661212</c:v>
                </c:pt>
                <c:pt idx="702">
                  <c:v>-9.0403806513385874</c:v>
                </c:pt>
                <c:pt idx="703">
                  <c:v>-9.0540148820481701</c:v>
                </c:pt>
                <c:pt idx="704">
                  <c:v>-9.0676491291945638</c:v>
                </c:pt>
                <c:pt idx="705">
                  <c:v>-9.081283392777463</c:v>
                </c:pt>
                <c:pt idx="706">
                  <c:v>-9.0949176727965622</c:v>
                </c:pt>
                <c:pt idx="707">
                  <c:v>-9.108551969251554</c:v>
                </c:pt>
                <c:pt idx="708">
                  <c:v>-9.1221862821421347</c:v>
                </c:pt>
                <c:pt idx="709">
                  <c:v>-9.135820611467997</c:v>
                </c:pt>
                <c:pt idx="710">
                  <c:v>-9.1494549572288353</c:v>
                </c:pt>
                <c:pt idx="711">
                  <c:v>-9.1630893194243441</c:v>
                </c:pt>
                <c:pt idx="712">
                  <c:v>-9.1767236980542179</c:v>
                </c:pt>
                <c:pt idx="713">
                  <c:v>-9.1903580931181494</c:v>
                </c:pt>
                <c:pt idx="714">
                  <c:v>-9.2039925046158348</c:v>
                </c:pt>
                <c:pt idx="715">
                  <c:v>-9.2176269325469669</c:v>
                </c:pt>
                <c:pt idx="716">
                  <c:v>-9.2312613769112399</c:v>
                </c:pt>
                <c:pt idx="717">
                  <c:v>-9.2448958377083486</c:v>
                </c:pt>
                <c:pt idx="718">
                  <c:v>-9.2585303149379872</c:v>
                </c:pt>
                <c:pt idx="719">
                  <c:v>-9.2721648085998503</c:v>
                </c:pt>
                <c:pt idx="720">
                  <c:v>-9.2857993186936323</c:v>
                </c:pt>
                <c:pt idx="721">
                  <c:v>-9.2994338452190259</c:v>
                </c:pt>
                <c:pt idx="722">
                  <c:v>-9.3130683881757275</c:v>
                </c:pt>
                <c:pt idx="723">
                  <c:v>-9.3267029475634295</c:v>
                </c:pt>
                <c:pt idx="724">
                  <c:v>-9.3403375233818267</c:v>
                </c:pt>
                <c:pt idx="725">
                  <c:v>-9.3539721156306133</c:v>
                </c:pt>
                <c:pt idx="726">
                  <c:v>-9.3676067243094838</c:v>
                </c:pt>
                <c:pt idx="727">
                  <c:v>-9.381241349418131</c:v>
                </c:pt>
                <c:pt idx="728">
                  <c:v>-9.3948759909562511</c:v>
                </c:pt>
                <c:pt idx="729">
                  <c:v>-9.4085106489235368</c:v>
                </c:pt>
                <c:pt idx="730">
                  <c:v>-9.4221453233196844</c:v>
                </c:pt>
                <c:pt idx="731">
                  <c:v>-9.4357800141443864</c:v>
                </c:pt>
                <c:pt idx="732">
                  <c:v>-9.4494147213973374</c:v>
                </c:pt>
                <c:pt idx="733">
                  <c:v>-9.4630494450782319</c:v>
                </c:pt>
                <c:pt idx="734">
                  <c:v>-9.4766841851867643</c:v>
                </c:pt>
                <c:pt idx="735">
                  <c:v>-9.4903189417226272</c:v>
                </c:pt>
                <c:pt idx="736">
                  <c:v>-9.5039537146855171</c:v>
                </c:pt>
                <c:pt idx="737">
                  <c:v>-9.5175885040751265</c:v>
                </c:pt>
                <c:pt idx="738">
                  <c:v>-9.5312233098911516</c:v>
                </c:pt>
                <c:pt idx="739">
                  <c:v>-9.5448581321332853</c:v>
                </c:pt>
                <c:pt idx="740">
                  <c:v>-9.5584929708012218</c:v>
                </c:pt>
                <c:pt idx="741">
                  <c:v>-9.5721278258946558</c:v>
                </c:pt>
                <c:pt idx="742">
                  <c:v>-9.5857626974132817</c:v>
                </c:pt>
                <c:pt idx="743">
                  <c:v>-9.5993975853567939</c:v>
                </c:pt>
                <c:pt idx="744">
                  <c:v>-9.6130324897248851</c:v>
                </c:pt>
                <c:pt idx="745">
                  <c:v>-9.6266674105172516</c:v>
                </c:pt>
                <c:pt idx="746">
                  <c:v>-9.6403023477335861</c:v>
                </c:pt>
                <c:pt idx="747">
                  <c:v>-9.6539373013735847</c:v>
                </c:pt>
                <c:pt idx="748">
                  <c:v>-9.6675722714369403</c:v>
                </c:pt>
                <c:pt idx="749">
                  <c:v>-9.6812072579233472</c:v>
                </c:pt>
                <c:pt idx="750">
                  <c:v>-9.6948422608325</c:v>
                </c:pt>
                <c:pt idx="751">
                  <c:v>-9.7084772801640931</c:v>
                </c:pt>
                <c:pt idx="752">
                  <c:v>-9.7221123159178209</c:v>
                </c:pt>
                <c:pt idx="753">
                  <c:v>-9.7357473680933779</c:v>
                </c:pt>
                <c:pt idx="754">
                  <c:v>-9.7493824366904587</c:v>
                </c:pt>
                <c:pt idx="755">
                  <c:v>-9.7630175217087558</c:v>
                </c:pt>
                <c:pt idx="756">
                  <c:v>-9.7766526231479656</c:v>
                </c:pt>
                <c:pt idx="757">
                  <c:v>-9.7902877410077807</c:v>
                </c:pt>
                <c:pt idx="758">
                  <c:v>-9.8039228752878973</c:v>
                </c:pt>
                <c:pt idx="759">
                  <c:v>-9.8175580259880082</c:v>
                </c:pt>
                <c:pt idx="760">
                  <c:v>-9.8311931931078078</c:v>
                </c:pt>
                <c:pt idx="761">
                  <c:v>-9.8448283766469906</c:v>
                </c:pt>
                <c:pt idx="762">
                  <c:v>-9.8584635766052511</c:v>
                </c:pt>
                <c:pt idx="763">
                  <c:v>-9.8720987929822837</c:v>
                </c:pt>
                <c:pt idx="764">
                  <c:v>-9.8857340257777828</c:v>
                </c:pt>
                <c:pt idx="765">
                  <c:v>-9.899369274991443</c:v>
                </c:pt>
                <c:pt idx="766">
                  <c:v>-9.9130045406229588</c:v>
                </c:pt>
                <c:pt idx="767">
                  <c:v>-9.9266398226720227</c:v>
                </c:pt>
                <c:pt idx="768">
                  <c:v>-9.9402751211383311</c:v>
                </c:pt>
                <c:pt idx="769">
                  <c:v>-9.9539104360215767</c:v>
                </c:pt>
                <c:pt idx="770">
                  <c:v>-9.9675457673214556</c:v>
                </c:pt>
                <c:pt idx="771">
                  <c:v>-9.9811811150376606</c:v>
                </c:pt>
                <c:pt idx="772">
                  <c:v>-9.9948164791698861</c:v>
                </c:pt>
                <c:pt idx="773">
                  <c:v>-10.008451859717828</c:v>
                </c:pt>
                <c:pt idx="774">
                  <c:v>-10.02208725668118</c:v>
                </c:pt>
                <c:pt idx="775">
                  <c:v>-10.035722670059636</c:v>
                </c:pt>
                <c:pt idx="776">
                  <c:v>-10.04935809985289</c:v>
                </c:pt>
                <c:pt idx="777">
                  <c:v>-10.062993546060637</c:v>
                </c:pt>
                <c:pt idx="778">
                  <c:v>-10.076629008682572</c:v>
                </c:pt>
                <c:pt idx="779">
                  <c:v>-10.090264487718388</c:v>
                </c:pt>
                <c:pt idx="780">
                  <c:v>-10.10389998316778</c:v>
                </c:pt>
                <c:pt idx="781">
                  <c:v>-10.117535495030442</c:v>
                </c:pt>
                <c:pt idx="782">
                  <c:v>-10.131171023306068</c:v>
                </c:pt>
                <c:pt idx="783">
                  <c:v>-10.144806567994355</c:v>
                </c:pt>
                <c:pt idx="784">
                  <c:v>-10.158442129094993</c:v>
                </c:pt>
                <c:pt idx="785">
                  <c:v>-10.172077706607681</c:v>
                </c:pt>
                <c:pt idx="786">
                  <c:v>-10.185713300532111</c:v>
                </c:pt>
                <c:pt idx="787">
                  <c:v>-10.199348910867977</c:v>
                </c:pt>
                <c:pt idx="788">
                  <c:v>-10.212984537614975</c:v>
                </c:pt>
                <c:pt idx="789">
                  <c:v>-10.226620180772798</c:v>
                </c:pt>
                <c:pt idx="790">
                  <c:v>-10.24025584034114</c:v>
                </c:pt>
                <c:pt idx="791">
                  <c:v>-10.253891516319698</c:v>
                </c:pt>
                <c:pt idx="792">
                  <c:v>-10.267527208708163</c:v>
                </c:pt>
                <c:pt idx="793">
                  <c:v>-10.281162917506231</c:v>
                </c:pt>
                <c:pt idx="794">
                  <c:v>-10.294798642713596</c:v>
                </c:pt>
                <c:pt idx="795">
                  <c:v>-10.308434384329955</c:v>
                </c:pt>
                <c:pt idx="796">
                  <c:v>-10.322070142354999</c:v>
                </c:pt>
                <c:pt idx="797">
                  <c:v>-10.335705916788424</c:v>
                </c:pt>
                <c:pt idx="798">
                  <c:v>-10.349341707629923</c:v>
                </c:pt>
                <c:pt idx="799">
                  <c:v>-10.362977514879192</c:v>
                </c:pt>
                <c:pt idx="800">
                  <c:v>-10.376613338535925</c:v>
                </c:pt>
                <c:pt idx="801">
                  <c:v>-10.390249178599817</c:v>
                </c:pt>
                <c:pt idx="802">
                  <c:v>-10.403885035070561</c:v>
                </c:pt>
                <c:pt idx="803">
                  <c:v>-10.417520907947852</c:v>
                </c:pt>
                <c:pt idx="804">
                  <c:v>-10.431156797231385</c:v>
                </c:pt>
                <c:pt idx="805">
                  <c:v>-10.444792702920854</c:v>
                </c:pt>
                <c:pt idx="806">
                  <c:v>-10.458428625015953</c:v>
                </c:pt>
                <c:pt idx="807">
                  <c:v>-10.472064563516378</c:v>
                </c:pt>
                <c:pt idx="808">
                  <c:v>-10.485700518421822</c:v>
                </c:pt>
                <c:pt idx="809">
                  <c:v>-10.499336489731981</c:v>
                </c:pt>
                <c:pt idx="810">
                  <c:v>-10.512972477446548</c:v>
                </c:pt>
                <c:pt idx="811">
                  <c:v>-10.526608481565217</c:v>
                </c:pt>
                <c:pt idx="812">
                  <c:v>-10.540244502087685</c:v>
                </c:pt>
                <c:pt idx="813">
                  <c:v>-10.553880539013644</c:v>
                </c:pt>
                <c:pt idx="814">
                  <c:v>-10.567516592342788</c:v>
                </c:pt>
                <c:pt idx="815">
                  <c:v>-10.581152662074812</c:v>
                </c:pt>
                <c:pt idx="816">
                  <c:v>-10.594788748209412</c:v>
                </c:pt>
                <c:pt idx="817">
                  <c:v>-10.608424850746282</c:v>
                </c:pt>
                <c:pt idx="818">
                  <c:v>-10.622060969685116</c:v>
                </c:pt>
                <c:pt idx="819">
                  <c:v>-10.635697105025608</c:v>
                </c:pt>
                <c:pt idx="820">
                  <c:v>-10.649333256767454</c:v>
                </c:pt>
                <c:pt idx="821">
                  <c:v>-10.662969424910347</c:v>
                </c:pt>
                <c:pt idx="822">
                  <c:v>-10.676605609453981</c:v>
                </c:pt>
                <c:pt idx="823">
                  <c:v>-10.690241810398051</c:v>
                </c:pt>
                <c:pt idx="824">
                  <c:v>-10.703878027742252</c:v>
                </c:pt>
                <c:pt idx="825">
                  <c:v>-10.717514261486279</c:v>
                </c:pt>
                <c:pt idx="826">
                  <c:v>-10.731150511629826</c:v>
                </c:pt>
                <c:pt idx="827">
                  <c:v>-10.744786778172587</c:v>
                </c:pt>
                <c:pt idx="828">
                  <c:v>-10.758423061114257</c:v>
                </c:pt>
                <c:pt idx="829">
                  <c:v>-10.772059360454531</c:v>
                </c:pt>
                <c:pt idx="830">
                  <c:v>-10.785695676193102</c:v>
                </c:pt>
                <c:pt idx="831">
                  <c:v>-10.799332008329666</c:v>
                </c:pt>
                <c:pt idx="832">
                  <c:v>-10.812968356863916</c:v>
                </c:pt>
                <c:pt idx="833">
                  <c:v>-10.826604721795547</c:v>
                </c:pt>
                <c:pt idx="834">
                  <c:v>-10.840241103124255</c:v>
                </c:pt>
                <c:pt idx="835">
                  <c:v>-10.853877500849732</c:v>
                </c:pt>
                <c:pt idx="836">
                  <c:v>-10.867513914971674</c:v>
                </c:pt>
                <c:pt idx="837">
                  <c:v>-10.881150345489777</c:v>
                </c:pt>
                <c:pt idx="838">
                  <c:v>-10.894786792403734</c:v>
                </c:pt>
                <c:pt idx="839">
                  <c:v>-10.908423255713238</c:v>
                </c:pt>
                <c:pt idx="840">
                  <c:v>-10.922059735417985</c:v>
                </c:pt>
                <c:pt idx="841">
                  <c:v>-10.935696231517671</c:v>
                </c:pt>
                <c:pt idx="842">
                  <c:v>-10.949332744011988</c:v>
                </c:pt>
                <c:pt idx="843">
                  <c:v>-10.962969272900631</c:v>
                </c:pt>
                <c:pt idx="844">
                  <c:v>-10.976605818183296</c:v>
                </c:pt>
                <c:pt idx="845">
                  <c:v>-10.990242379859676</c:v>
                </c:pt>
                <c:pt idx="846">
                  <c:v>-11.003878957929468</c:v>
                </c:pt>
                <c:pt idx="847">
                  <c:v>-11.017515552392362</c:v>
                </c:pt>
                <c:pt idx="848">
                  <c:v>-11.031152163248057</c:v>
                </c:pt>
                <c:pt idx="849">
                  <c:v>-11.044788790496247</c:v>
                </c:pt>
                <c:pt idx="850">
                  <c:v>-11.058425434136623</c:v>
                </c:pt>
                <c:pt idx="851">
                  <c:v>-11.072062094168883</c:v>
                </c:pt>
                <c:pt idx="852">
                  <c:v>-11.085698770592721</c:v>
                </c:pt>
                <c:pt idx="853">
                  <c:v>-11.099335463407831</c:v>
                </c:pt>
                <c:pt idx="854">
                  <c:v>-11.112972172613906</c:v>
                </c:pt>
                <c:pt idx="855">
                  <c:v>-11.126608898210643</c:v>
                </c:pt>
                <c:pt idx="856">
                  <c:v>-11.140245640197735</c:v>
                </c:pt>
                <c:pt idx="857">
                  <c:v>-11.153882398574879</c:v>
                </c:pt>
                <c:pt idx="858">
                  <c:v>-11.167519173341768</c:v>
                </c:pt>
                <c:pt idx="859">
                  <c:v>-11.181155964498096</c:v>
                </c:pt>
                <c:pt idx="860">
                  <c:v>-11.194792772043558</c:v>
                </c:pt>
                <c:pt idx="861">
                  <c:v>-11.208429595977847</c:v>
                </c:pt>
                <c:pt idx="862">
                  <c:v>-11.222066436300661</c:v>
                </c:pt>
                <c:pt idx="863">
                  <c:v>-11.235703293011692</c:v>
                </c:pt>
                <c:pt idx="864">
                  <c:v>-11.249340166110636</c:v>
                </c:pt>
                <c:pt idx="865">
                  <c:v>-11.262977055597187</c:v>
                </c:pt>
                <c:pt idx="866">
                  <c:v>-11.276613961471039</c:v>
                </c:pt>
                <c:pt idx="867">
                  <c:v>-11.290250883731888</c:v>
                </c:pt>
                <c:pt idx="868">
                  <c:v>-11.303887822379426</c:v>
                </c:pt>
                <c:pt idx="869">
                  <c:v>-11.31752477741335</c:v>
                </c:pt>
                <c:pt idx="870">
                  <c:v>-11.331161748833354</c:v>
                </c:pt>
                <c:pt idx="871">
                  <c:v>-11.344798736639133</c:v>
                </c:pt>
                <c:pt idx="872">
                  <c:v>-11.35843574083038</c:v>
                </c:pt>
                <c:pt idx="873">
                  <c:v>-11.372072761406793</c:v>
                </c:pt>
                <c:pt idx="874">
                  <c:v>-11.385709798368064</c:v>
                </c:pt>
                <c:pt idx="875">
                  <c:v>-11.399346851713887</c:v>
                </c:pt>
                <c:pt idx="876">
                  <c:v>-11.412983921443958</c:v>
                </c:pt>
                <c:pt idx="877">
                  <c:v>-11.426621007557971</c:v>
                </c:pt>
                <c:pt idx="878">
                  <c:v>-11.440258110055622</c:v>
                </c:pt>
                <c:pt idx="879">
                  <c:v>-11.453895228936604</c:v>
                </c:pt>
                <c:pt idx="880">
                  <c:v>-11.467532364200611</c:v>
                </c:pt>
                <c:pt idx="881">
                  <c:v>-11.481169515847339</c:v>
                </c:pt>
                <c:pt idx="882">
                  <c:v>-11.494806683876483</c:v>
                </c:pt>
                <c:pt idx="883">
                  <c:v>-11.508443868287737</c:v>
                </c:pt>
                <c:pt idx="884">
                  <c:v>-11.522081069080796</c:v>
                </c:pt>
                <c:pt idx="885">
                  <c:v>-11.535718286255355</c:v>
                </c:pt>
                <c:pt idx="886">
                  <c:v>-11.549355519811106</c:v>
                </c:pt>
                <c:pt idx="887">
                  <c:v>-11.562992769747748</c:v>
                </c:pt>
                <c:pt idx="888">
                  <c:v>-11.576630036064971</c:v>
                </c:pt>
                <c:pt idx="889">
                  <c:v>-11.590267318762473</c:v>
                </c:pt>
                <c:pt idx="890">
                  <c:v>-11.603904617839948</c:v>
                </c:pt>
                <c:pt idx="891">
                  <c:v>-11.61754193329709</c:v>
                </c:pt>
                <c:pt idx="892">
                  <c:v>-11.631179265133595</c:v>
                </c:pt>
                <c:pt idx="893">
                  <c:v>-11.644816613349155</c:v>
                </c:pt>
                <c:pt idx="894">
                  <c:v>-11.658453977943466</c:v>
                </c:pt>
                <c:pt idx="895">
                  <c:v>-11.672091358916223</c:v>
                </c:pt>
                <c:pt idx="896">
                  <c:v>-11.685728756267121</c:v>
                </c:pt>
                <c:pt idx="897">
                  <c:v>-11.699366169995855</c:v>
                </c:pt>
                <c:pt idx="898">
                  <c:v>-11.713003600102118</c:v>
                </c:pt>
                <c:pt idx="899">
                  <c:v>-11.726641046585605</c:v>
                </c:pt>
                <c:pt idx="900">
                  <c:v>-11.740278509446012</c:v>
                </c:pt>
                <c:pt idx="901">
                  <c:v>-11.753915988683033</c:v>
                </c:pt>
                <c:pt idx="902">
                  <c:v>-11.767553484296362</c:v>
                </c:pt>
                <c:pt idx="903">
                  <c:v>-11.781190996285696</c:v>
                </c:pt>
                <c:pt idx="904">
                  <c:v>-11.794828524650727</c:v>
                </c:pt>
                <c:pt idx="905">
                  <c:v>-11.808466069391152</c:v>
                </c:pt>
                <c:pt idx="906">
                  <c:v>-11.822103630506662</c:v>
                </c:pt>
                <c:pt idx="907">
                  <c:v>-11.835741207996955</c:v>
                </c:pt>
                <c:pt idx="908">
                  <c:v>-11.849378801861725</c:v>
                </c:pt>
                <c:pt idx="909">
                  <c:v>-11.863016412100666</c:v>
                </c:pt>
                <c:pt idx="910">
                  <c:v>-11.876654038713474</c:v>
                </c:pt>
                <c:pt idx="911">
                  <c:v>-11.890291681699843</c:v>
                </c:pt>
                <c:pt idx="912">
                  <c:v>-11.903929341059467</c:v>
                </c:pt>
                <c:pt idx="913">
                  <c:v>-11.917567016792042</c:v>
                </c:pt>
                <c:pt idx="914">
                  <c:v>-11.931204708897262</c:v>
                </c:pt>
                <c:pt idx="915">
                  <c:v>-11.944842417374822</c:v>
                </c:pt>
                <c:pt idx="916">
                  <c:v>-11.958480142224417</c:v>
                </c:pt>
                <c:pt idx="917">
                  <c:v>-11.97211788344574</c:v>
                </c:pt>
                <c:pt idx="918">
                  <c:v>-11.985755641038487</c:v>
                </c:pt>
                <c:pt idx="919">
                  <c:v>-11.999393415002354</c:v>
                </c:pt>
                <c:pt idx="920">
                  <c:v>-12.013031205337034</c:v>
                </c:pt>
                <c:pt idx="921">
                  <c:v>-12.026669012042221</c:v>
                </c:pt>
                <c:pt idx="922">
                  <c:v>-12.040306835117612</c:v>
                </c:pt>
                <c:pt idx="923">
                  <c:v>-12.053944674562899</c:v>
                </c:pt>
                <c:pt idx="924">
                  <c:v>-12.067582530377781</c:v>
                </c:pt>
                <c:pt idx="925">
                  <c:v>-12.081220402561948</c:v>
                </c:pt>
                <c:pt idx="926">
                  <c:v>-12.094858291115099</c:v>
                </c:pt>
                <c:pt idx="927">
                  <c:v>-12.108496196036924</c:v>
                </c:pt>
                <c:pt idx="928">
                  <c:v>-12.122134117327121</c:v>
                </c:pt>
                <c:pt idx="929">
                  <c:v>-12.135772054985384</c:v>
                </c:pt>
                <c:pt idx="930">
                  <c:v>-12.14941000901141</c:v>
                </c:pt>
                <c:pt idx="931">
                  <c:v>-12.16304797940489</c:v>
                </c:pt>
                <c:pt idx="932">
                  <c:v>-12.176685966165522</c:v>
                </c:pt>
                <c:pt idx="933">
                  <c:v>-12.190323969292997</c:v>
                </c:pt>
                <c:pt idx="934">
                  <c:v>-12.203961988787013</c:v>
                </c:pt>
                <c:pt idx="935">
                  <c:v>-12.217600024647263</c:v>
                </c:pt>
                <c:pt idx="936">
                  <c:v>-12.231238076873444</c:v>
                </c:pt>
                <c:pt idx="937">
                  <c:v>-12.244876145465248</c:v>
                </c:pt>
                <c:pt idx="938">
                  <c:v>-12.258514230422373</c:v>
                </c:pt>
                <c:pt idx="939">
                  <c:v>-12.272152331744511</c:v>
                </c:pt>
                <c:pt idx="940">
                  <c:v>-12.285790449431358</c:v>
                </c:pt>
                <c:pt idx="941">
                  <c:v>-12.299428583482609</c:v>
                </c:pt>
                <c:pt idx="942">
                  <c:v>-12.313066733897957</c:v>
                </c:pt>
                <c:pt idx="943">
                  <c:v>-12.326704900677099</c:v>
                </c:pt>
                <c:pt idx="944">
                  <c:v>-12.340343083819727</c:v>
                </c:pt>
                <c:pt idx="945">
                  <c:v>-12.353981283325538</c:v>
                </c:pt>
                <c:pt idx="946">
                  <c:v>-12.367619499194227</c:v>
                </c:pt>
                <c:pt idx="947">
                  <c:v>-12.381257731425487</c:v>
                </c:pt>
                <c:pt idx="948">
                  <c:v>-12.394895980019015</c:v>
                </c:pt>
                <c:pt idx="949">
                  <c:v>-12.408534244974506</c:v>
                </c:pt>
                <c:pt idx="950">
                  <c:v>-12.422172526291652</c:v>
                </c:pt>
                <c:pt idx="951">
                  <c:v>-12.435810823970149</c:v>
                </c:pt>
                <c:pt idx="952">
                  <c:v>-12.449449138009694</c:v>
                </c:pt>
                <c:pt idx="953">
                  <c:v>-12.463087468409979</c:v>
                </c:pt>
                <c:pt idx="954">
                  <c:v>-12.476725815170701</c:v>
                </c:pt>
                <c:pt idx="955">
                  <c:v>-12.490364178291554</c:v>
                </c:pt>
                <c:pt idx="956">
                  <c:v>-12.504002557772232</c:v>
                </c:pt>
                <c:pt idx="957">
                  <c:v>-12.51764095361243</c:v>
                </c:pt>
                <c:pt idx="958">
                  <c:v>-12.531279365811843</c:v>
                </c:pt>
                <c:pt idx="959">
                  <c:v>-12.544917794370166</c:v>
                </c:pt>
                <c:pt idx="960">
                  <c:v>-12.558556239287094</c:v>
                </c:pt>
                <c:pt idx="961">
                  <c:v>-12.572194700562322</c:v>
                </c:pt>
                <c:pt idx="962">
                  <c:v>-12.585833178195545</c:v>
                </c:pt>
                <c:pt idx="963">
                  <c:v>-12.599471672186457</c:v>
                </c:pt>
                <c:pt idx="964">
                  <c:v>-12.613110182534752</c:v>
                </c:pt>
                <c:pt idx="965">
                  <c:v>-12.626748709240127</c:v>
                </c:pt>
                <c:pt idx="966">
                  <c:v>-12.640387252302276</c:v>
                </c:pt>
                <c:pt idx="967">
                  <c:v>-12.654025811720894</c:v>
                </c:pt>
                <c:pt idx="968">
                  <c:v>-12.667664387495675</c:v>
                </c:pt>
                <c:pt idx="969">
                  <c:v>-12.681302979626315</c:v>
                </c:pt>
                <c:pt idx="970">
                  <c:v>-12.694941588112508</c:v>
                </c:pt>
                <c:pt idx="971">
                  <c:v>-12.708580212953949</c:v>
                </c:pt>
                <c:pt idx="972">
                  <c:v>-12.722218854150334</c:v>
                </c:pt>
                <c:pt idx="973">
                  <c:v>-12.735857511701356</c:v>
                </c:pt>
                <c:pt idx="974">
                  <c:v>-12.749496185606711</c:v>
                </c:pt>
                <c:pt idx="975">
                  <c:v>-12.763134875866093</c:v>
                </c:pt>
                <c:pt idx="976">
                  <c:v>-12.776773582479199</c:v>
                </c:pt>
                <c:pt idx="977">
                  <c:v>-12.790412305445722</c:v>
                </c:pt>
                <c:pt idx="978">
                  <c:v>-12.804051044765357</c:v>
                </c:pt>
                <c:pt idx="979">
                  <c:v>-12.817689800437799</c:v>
                </c:pt>
                <c:pt idx="980">
                  <c:v>-12.831328572462745</c:v>
                </c:pt>
                <c:pt idx="981">
                  <c:v>-12.844967360839886</c:v>
                </c:pt>
                <c:pt idx="982">
                  <c:v>-12.85860616556892</c:v>
                </c:pt>
                <c:pt idx="983">
                  <c:v>-12.872244986649541</c:v>
                </c:pt>
                <c:pt idx="984">
                  <c:v>-12.885883824081443</c:v>
                </c:pt>
                <c:pt idx="985">
                  <c:v>-12.899522677864322</c:v>
                </c:pt>
                <c:pt idx="986">
                  <c:v>-12.913161547997873</c:v>
                </c:pt>
                <c:pt idx="987">
                  <c:v>-12.926800434481791</c:v>
                </c:pt>
                <c:pt idx="988">
                  <c:v>-12.94043933731577</c:v>
                </c:pt>
                <c:pt idx="989">
                  <c:v>-12.954078256499503</c:v>
                </c:pt>
                <c:pt idx="990">
                  <c:v>-12.967717192032689</c:v>
                </c:pt>
                <c:pt idx="991">
                  <c:v>-12.98135614391502</c:v>
                </c:pt>
                <c:pt idx="992">
                  <c:v>-12.994995112146194</c:v>
                </c:pt>
                <c:pt idx="993">
                  <c:v>-13.008634096725903</c:v>
                </c:pt>
                <c:pt idx="994">
                  <c:v>-13.022273097653843</c:v>
                </c:pt>
                <c:pt idx="995">
                  <c:v>-13.035912114929708</c:v>
                </c:pt>
                <c:pt idx="996">
                  <c:v>-13.049551148553194</c:v>
                </c:pt>
                <c:pt idx="997">
                  <c:v>-13.063190198523996</c:v>
                </c:pt>
                <c:pt idx="998">
                  <c:v>-13.076829264841809</c:v>
                </c:pt>
                <c:pt idx="999">
                  <c:v>-13.090468347506327</c:v>
                </c:pt>
                <c:pt idx="1000">
                  <c:v>-13.104107446517245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2-4CA2-BA56-E0E46E48A26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2-4CA2-BA56-E0E46E48A26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111.04</c:v>
                </c:pt>
                <c:pt idx="1">
                  <c:v>111.2565849077789</c:v>
                </c:pt>
                <c:pt idx="2">
                  <c:v>111.47355039057123</c:v>
                </c:pt>
                <c:pt idx="3">
                  <c:v>111.69124665032949</c:v>
                </c:pt>
                <c:pt idx="4">
                  <c:v>111.90973795019553</c:v>
                </c:pt>
                <c:pt idx="5">
                  <c:v>112.1289643045625</c:v>
                </c:pt>
                <c:pt idx="6">
                  <c:v>112.34890352377653</c:v>
                </c:pt>
                <c:pt idx="7">
                  <c:v>112.56955233403268</c:v>
                </c:pt>
                <c:pt idx="8">
                  <c:v>112.79090745503885</c:v>
                </c:pt>
                <c:pt idx="9">
                  <c:v>113.01296560008456</c:v>
                </c:pt>
                <c:pt idx="10">
                  <c:v>113.23572347610924</c:v>
                </c:pt>
                <c:pt idx="11">
                  <c:v>113.45917778377009</c:v>
                </c:pt>
                <c:pt idx="12">
                  <c:v>113.68332521750925</c:v>
                </c:pt>
                <c:pt idx="13">
                  <c:v>113.90816246562068</c:v>
                </c:pt>
                <c:pt idx="14">
                  <c:v>114.13368621031638</c:v>
                </c:pt>
                <c:pt idx="15">
                  <c:v>114.35989312779226</c:v>
                </c:pt>
                <c:pt idx="16">
                  <c:v>114.58677988829336</c:v>
                </c:pt>
                <c:pt idx="17">
                  <c:v>114.81434315617874</c:v>
                </c:pt>
                <c:pt idx="18">
                  <c:v>115.04257958998575</c:v>
                </c:pt>
                <c:pt idx="19">
                  <c:v>115.27148584249395</c:v>
                </c:pt>
                <c:pt idx="20">
                  <c:v>115.50105856078842</c:v>
                </c:pt>
                <c:pt idx="21">
                  <c:v>115.73129438632274</c:v>
                </c:pt>
                <c:pt idx="22">
                  <c:v>115.96218995498134</c:v>
                </c:pt>
                <c:pt idx="23">
                  <c:v>116.19374189714146</c:v>
                </c:pt>
                <c:pt idx="24">
                  <c:v>116.42594683773473</c:v>
                </c:pt>
                <c:pt idx="25">
                  <c:v>116.65880139630808</c:v>
                </c:pt>
                <c:pt idx="26">
                  <c:v>116.89230218708437</c:v>
                </c:pt>
                <c:pt idx="27">
                  <c:v>117.12644581902248</c:v>
                </c:pt>
                <c:pt idx="28">
                  <c:v>117.36122889587696</c:v>
                </c:pt>
                <c:pt idx="29">
                  <c:v>117.59664801625721</c:v>
                </c:pt>
                <c:pt idx="30">
                  <c:v>117.83269977368619</c:v>
                </c:pt>
                <c:pt idx="31">
                  <c:v>118.06938075665877</c:v>
                </c:pt>
                <c:pt idx="32">
                  <c:v>118.30668754869954</c:v>
                </c:pt>
                <c:pt idx="33">
                  <c:v>118.54461672842017</c:v>
                </c:pt>
                <c:pt idx="34">
                  <c:v>118.7831648695764</c:v>
                </c:pt>
                <c:pt idx="35">
                  <c:v>119.02232854112451</c:v>
                </c:pt>
                <c:pt idx="36">
                  <c:v>119.26210430727741</c:v>
                </c:pt>
                <c:pt idx="37">
                  <c:v>119.50248872756029</c:v>
                </c:pt>
                <c:pt idx="38">
                  <c:v>119.74347835686574</c:v>
                </c:pt>
                <c:pt idx="39">
                  <c:v>119.98506974550855</c:v>
                </c:pt>
                <c:pt idx="40">
                  <c:v>120.22725943928006</c:v>
                </c:pt>
                <c:pt idx="41">
                  <c:v>120.47004397950198</c:v>
                </c:pt>
                <c:pt idx="42">
                  <c:v>120.71341990307992</c:v>
                </c:pt>
                <c:pt idx="43">
                  <c:v>120.95738374255642</c:v>
                </c:pt>
                <c:pt idx="44">
                  <c:v>121.20193202616349</c:v>
                </c:pt>
                <c:pt idx="45">
                  <c:v>121.44706127787488</c:v>
                </c:pt>
                <c:pt idx="46">
                  <c:v>121.69276801745782</c:v>
                </c:pt>
                <c:pt idx="47">
                  <c:v>121.93904876052434</c:v>
                </c:pt>
                <c:pt idx="48">
                  <c:v>122.18590001858223</c:v>
                </c:pt>
                <c:pt idx="49">
                  <c:v>122.43331829908551</c:v>
                </c:pt>
                <c:pt idx="50">
                  <c:v>122.68130010548457</c:v>
                </c:pt>
                <c:pt idx="51">
                  <c:v>122.92984193727578</c:v>
                </c:pt>
                <c:pt idx="52">
                  <c:v>123.17894029005085</c:v>
                </c:pt>
                <c:pt idx="53">
                  <c:v>123.42859165554557</c:v>
                </c:pt>
                <c:pt idx="54">
                  <c:v>123.67879252168837</c:v>
                </c:pt>
                <c:pt idx="55">
                  <c:v>123.92953937264824</c:v>
                </c:pt>
                <c:pt idx="56">
                  <c:v>124.18082868888244</c:v>
                </c:pt>
                <c:pt idx="57">
                  <c:v>124.43265694718373</c:v>
                </c:pt>
                <c:pt idx="58">
                  <c:v>124.68502062072712</c:v>
                </c:pt>
                <c:pt idx="59">
                  <c:v>124.93791617911631</c:v>
                </c:pt>
                <c:pt idx="60">
                  <c:v>125.19134008842975</c:v>
                </c:pt>
                <c:pt idx="61">
                  <c:v>125.4452888112662</c:v>
                </c:pt>
                <c:pt idx="62">
                  <c:v>125.69975880678993</c:v>
                </c:pt>
                <c:pt idx="63">
                  <c:v>125.95474482244197</c:v>
                </c:pt>
                <c:pt idx="64">
                  <c:v>126.21023818304089</c:v>
                </c:pt>
                <c:pt idx="65">
                  <c:v>126.46622849689538</c:v>
                </c:pt>
                <c:pt idx="66">
                  <c:v>126.72270536459675</c:v>
                </c:pt>
                <c:pt idx="67">
                  <c:v>126.97965680946224</c:v>
                </c:pt>
                <c:pt idx="68">
                  <c:v>127.23706770571232</c:v>
                </c:pt>
                <c:pt idx="69">
                  <c:v>127.49491855129882</c:v>
                </c:pt>
                <c:pt idx="70">
                  <c:v>127.75318423926404</c:v>
                </c:pt>
                <c:pt idx="71">
                  <c:v>128.01183685041022</c:v>
                </c:pt>
                <c:pt idx="72">
                  <c:v>128.27084845004725</c:v>
                </c:pt>
                <c:pt idx="73">
                  <c:v>128.530191088854</c:v>
                </c:pt>
                <c:pt idx="74">
                  <c:v>128.7898368037209</c:v>
                </c:pt>
                <c:pt idx="75">
                  <c:v>129.04975761857406</c:v>
                </c:pt>
                <c:pt idx="76">
                  <c:v>129.30992554518065</c:v>
                </c:pt>
                <c:pt idx="77">
                  <c:v>129.57031258393567</c:v>
                </c:pt>
                <c:pt idx="78">
                  <c:v>129.83089072463011</c:v>
                </c:pt>
                <c:pt idx="79">
                  <c:v>130.09163194720037</c:v>
                </c:pt>
                <c:pt idx="80">
                  <c:v>130.35250822245899</c:v>
                </c:pt>
                <c:pt idx="81">
                  <c:v>130.61349486239817</c:v>
                </c:pt>
                <c:pt idx="82">
                  <c:v>130.87457387364555</c:v>
                </c:pt>
                <c:pt idx="83">
                  <c:v>131.13573060998368</c:v>
                </c:pt>
                <c:pt idx="84">
                  <c:v>131.3969504214387</c:v>
                </c:pt>
                <c:pt idx="85">
                  <c:v>131.65821865444246</c:v>
                </c:pt>
                <c:pt idx="86">
                  <c:v>131.91952065198947</c:v>
                </c:pt>
                <c:pt idx="87">
                  <c:v>132.18084175378874</c:v>
                </c:pt>
                <c:pt idx="88">
                  <c:v>132.44216729641039</c:v>
                </c:pt>
                <c:pt idx="89">
                  <c:v>132.70348367708954</c:v>
                </c:pt>
                <c:pt idx="90">
                  <c:v>132.96477941841809</c:v>
                </c:pt>
                <c:pt idx="91">
                  <c:v>133.22604410512909</c:v>
                </c:pt>
                <c:pt idx="92">
                  <c:v>133.48726731994566</c:v>
                </c:pt>
                <c:pt idx="93">
                  <c:v>133.74843891026291</c:v>
                </c:pt>
                <c:pt idx="94">
                  <c:v>134.00954925504237</c:v>
                </c:pt>
                <c:pt idx="95">
                  <c:v>134.27058899828779</c:v>
                </c:pt>
                <c:pt idx="96">
                  <c:v>134.53154878229716</c:v>
                </c:pt>
                <c:pt idx="97">
                  <c:v>134.79242031706869</c:v>
                </c:pt>
                <c:pt idx="98">
                  <c:v>135.05319745053777</c:v>
                </c:pt>
                <c:pt idx="99">
                  <c:v>135.31387509945688</c:v>
                </c:pt>
                <c:pt idx="100">
                  <c:v>135.57444817942658</c:v>
                </c:pt>
                <c:pt idx="101">
                  <c:v>135.83491160488575</c:v>
                </c:pt>
                <c:pt idx="102">
                  <c:v>136.09526028910099</c:v>
                </c:pt>
                <c:pt idx="103">
                  <c:v>136.35548914415568</c:v>
                </c:pt>
                <c:pt idx="104">
                  <c:v>136.61559308093814</c:v>
                </c:pt>
                <c:pt idx="105">
                  <c:v>136.87556700912927</c:v>
                </c:pt>
                <c:pt idx="106">
                  <c:v>137.13540583718961</c:v>
                </c:pt>
                <c:pt idx="107">
                  <c:v>137.39510447234565</c:v>
                </c:pt>
                <c:pt idx="108">
                  <c:v>137.65465782057552</c:v>
                </c:pt>
                <c:pt idx="109">
                  <c:v>137.91406213391431</c:v>
                </c:pt>
                <c:pt idx="110">
                  <c:v>138.17331635878222</c:v>
                </c:pt>
                <c:pt idx="111">
                  <c:v>138.43242078893826</c:v>
                </c:pt>
                <c:pt idx="112">
                  <c:v>138.69137571741979</c:v>
                </c:pt>
                <c:pt idx="113">
                  <c:v>138.95018143654502</c:v>
                </c:pt>
                <c:pt idx="114">
                  <c:v>139.2088382379155</c:v>
                </c:pt>
                <c:pt idx="115">
                  <c:v>139.46734641241864</c:v>
                </c:pt>
                <c:pt idx="116">
                  <c:v>139.72570625023019</c:v>
                </c:pt>
                <c:pt idx="117">
                  <c:v>139.98391804081669</c:v>
                </c:pt>
                <c:pt idx="118">
                  <c:v>140.24198207293796</c:v>
                </c:pt>
                <c:pt idx="119">
                  <c:v>140.49989863464953</c:v>
                </c:pt>
                <c:pt idx="120">
                  <c:v>140.75766801330514</c:v>
                </c:pt>
                <c:pt idx="121">
                  <c:v>141.01529049555913</c:v>
                </c:pt>
                <c:pt idx="122">
                  <c:v>141.27276636736886</c:v>
                </c:pt>
                <c:pt idx="123">
                  <c:v>141.53009591399709</c:v>
                </c:pt>
                <c:pt idx="124">
                  <c:v>141.78727942001447</c:v>
                </c:pt>
                <c:pt idx="125">
                  <c:v>142.04431716930188</c:v>
                </c:pt>
                <c:pt idx="126">
                  <c:v>142.30120944505279</c:v>
                </c:pt>
                <c:pt idx="127">
                  <c:v>142.55795652977568</c:v>
                </c:pt>
                <c:pt idx="128">
                  <c:v>142.81455870529635</c:v>
                </c:pt>
                <c:pt idx="129">
                  <c:v>143.07101625276033</c:v>
                </c:pt>
                <c:pt idx="130">
                  <c:v>143.32732945263515</c:v>
                </c:pt>
                <c:pt idx="131">
                  <c:v>143.58349858471274</c:v>
                </c:pt>
                <c:pt idx="132">
                  <c:v>143.8395239281117</c:v>
                </c:pt>
                <c:pt idx="133">
                  <c:v>144.09540576127964</c:v>
                </c:pt>
                <c:pt idx="134">
                  <c:v>144.35114436199544</c:v>
                </c:pt>
                <c:pt idx="135">
                  <c:v>144.60674000737166</c:v>
                </c:pt>
                <c:pt idx="136">
                  <c:v>144.86219297385665</c:v>
                </c:pt>
                <c:pt idx="137">
                  <c:v>145.11750353723693</c:v>
                </c:pt>
                <c:pt idx="138">
                  <c:v>145.37267197263947</c:v>
                </c:pt>
                <c:pt idx="139">
                  <c:v>145.62769855453385</c:v>
                </c:pt>
                <c:pt idx="140">
                  <c:v>145.88258355673457</c:v>
                </c:pt>
                <c:pt idx="141">
                  <c:v>146.13732725240331</c:v>
                </c:pt>
                <c:pt idx="142">
                  <c:v>146.39192991405105</c:v>
                </c:pt>
                <c:pt idx="143">
                  <c:v>146.64639181354042</c:v>
                </c:pt>
                <c:pt idx="144">
                  <c:v>146.90071322208777</c:v>
                </c:pt>
                <c:pt idx="145">
                  <c:v>147.15489441026548</c:v>
                </c:pt>
                <c:pt idx="146">
                  <c:v>147.4089356480041</c:v>
                </c:pt>
                <c:pt idx="147">
                  <c:v>147.66283720459452</c:v>
                </c:pt>
                <c:pt idx="148">
                  <c:v>147.91659934869011</c:v>
                </c:pt>
                <c:pt idx="149">
                  <c:v>148.17022234830898</c:v>
                </c:pt>
                <c:pt idx="150">
                  <c:v>148.42370647083604</c:v>
                </c:pt>
                <c:pt idx="151">
                  <c:v>148.67705198302514</c:v>
                </c:pt>
                <c:pt idx="152">
                  <c:v>148.93025915100128</c:v>
                </c:pt>
                <c:pt idx="153">
                  <c:v>149.18332824026268</c:v>
                </c:pt>
                <c:pt idx="154">
                  <c:v>149.43625951568291</c:v>
                </c:pt>
                <c:pt idx="155">
                  <c:v>149.68905324151294</c:v>
                </c:pt>
                <c:pt idx="156">
                  <c:v>149.94170968138332</c:v>
                </c:pt>
                <c:pt idx="157">
                  <c:v>150.19422909830624</c:v>
                </c:pt>
                <c:pt idx="158">
                  <c:v>150.4466117546776</c:v>
                </c:pt>
                <c:pt idx="159">
                  <c:v>150.69885791227912</c:v>
                </c:pt>
                <c:pt idx="160">
                  <c:v>150.9509678322803</c:v>
                </c:pt>
                <c:pt idx="161">
                  <c:v>151.20294177524059</c:v>
                </c:pt>
                <c:pt idx="162">
                  <c:v>151.4547800011114</c:v>
                </c:pt>
                <c:pt idx="163">
                  <c:v>151.70648276923811</c:v>
                </c:pt>
                <c:pt idx="164">
                  <c:v>151.95805033836209</c:v>
                </c:pt>
                <c:pt idx="165">
                  <c:v>152.20948296662277</c:v>
                </c:pt>
                <c:pt idx="166">
                  <c:v>152.46078091155968</c:v>
                </c:pt>
                <c:pt idx="167">
                  <c:v>152.71194443011433</c:v>
                </c:pt>
                <c:pt idx="168">
                  <c:v>152.96297377863229</c:v>
                </c:pt>
                <c:pt idx="169">
                  <c:v>153.21386921286521</c:v>
                </c:pt>
                <c:pt idx="170">
                  <c:v>153.4646309879727</c:v>
                </c:pt>
                <c:pt idx="171">
                  <c:v>153.71525935852441</c:v>
                </c:pt>
                <c:pt idx="172">
                  <c:v>153.9657545785019</c:v>
                </c:pt>
                <c:pt idx="173">
                  <c:v>154.21611690130067</c:v>
                </c:pt>
                <c:pt idx="174">
                  <c:v>154.46634657973203</c:v>
                </c:pt>
                <c:pt idx="175">
                  <c:v>154.71644386602512</c:v>
                </c:pt>
                <c:pt idx="176">
                  <c:v>154.96640901182874</c:v>
                </c:pt>
                <c:pt idx="177">
                  <c:v>155.21624226821342</c:v>
                </c:pt>
                <c:pt idx="178">
                  <c:v>155.4659438856732</c:v>
                </c:pt>
                <c:pt idx="179">
                  <c:v>155.71551411412759</c:v>
                </c:pt>
                <c:pt idx="180">
                  <c:v>155.96495320292345</c:v>
                </c:pt>
                <c:pt idx="181">
                  <c:v>156.21426140083696</c:v>
                </c:pt>
                <c:pt idx="182">
                  <c:v>156.46343895607538</c:v>
                </c:pt>
                <c:pt idx="183">
                  <c:v>156.712486116279</c:v>
                </c:pt>
                <c:pt idx="184">
                  <c:v>156.96140312852302</c:v>
                </c:pt>
                <c:pt idx="185">
                  <c:v>157.21019023931939</c:v>
                </c:pt>
                <c:pt idx="186">
                  <c:v>157.45884769461867</c:v>
                </c:pt>
                <c:pt idx="187">
                  <c:v>157.70737573981182</c:v>
                </c:pt>
                <c:pt idx="188">
                  <c:v>157.95577461973215</c:v>
                </c:pt>
                <c:pt idx="189">
                  <c:v>158.20404457865703</c:v>
                </c:pt>
                <c:pt idx="190">
                  <c:v>158.45218586030984</c:v>
                </c:pt>
                <c:pt idx="191">
                  <c:v>158.70019870786166</c:v>
                </c:pt>
                <c:pt idx="192">
                  <c:v>158.94808336393316</c:v>
                </c:pt>
                <c:pt idx="193">
                  <c:v>159.1958400705964</c:v>
                </c:pt>
                <c:pt idx="194">
                  <c:v>159.44346906937659</c:v>
                </c:pt>
                <c:pt idx="195">
                  <c:v>159.69097060125389</c:v>
                </c:pt>
                <c:pt idx="196">
                  <c:v>159.93834490666521</c:v>
                </c:pt>
                <c:pt idx="197">
                  <c:v>160.1855922255059</c:v>
                </c:pt>
                <c:pt idx="198">
                  <c:v>160.43271279713167</c:v>
                </c:pt>
                <c:pt idx="199">
                  <c:v>160.67970686036023</c:v>
                </c:pt>
                <c:pt idx="200">
                  <c:v>160.92657465347307</c:v>
                </c:pt>
                <c:pt idx="201">
                  <c:v>163.38832614762683</c:v>
                </c:pt>
                <c:pt idx="202">
                  <c:v>165.83760420987562</c:v>
                </c:pt>
                <c:pt idx="203">
                  <c:v>168.27464209296832</c:v>
                </c:pt>
                <c:pt idx="204">
                  <c:v>170.69966791465134</c:v>
                </c:pt>
                <c:pt idx="205">
                  <c:v>173.11290482106256</c:v>
                </c:pt>
                <c:pt idx="206">
                  <c:v>175.51457114376782</c:v>
                </c:pt>
                <c:pt idx="207">
                  <c:v>177.90488055073661</c:v>
                </c:pt>
                <c:pt idx="208">
                  <c:v>180.28404219153688</c:v>
                </c:pt>
                <c:pt idx="209">
                  <c:v>182.6522608370143</c:v>
                </c:pt>
                <c:pt idx="210">
                  <c:v>185.00973701370617</c:v>
                </c:pt>
                <c:pt idx="211">
                  <c:v>187.35666713322786</c:v>
                </c:pt>
                <c:pt idx="212">
                  <c:v>189.69324361685625</c:v>
                </c:pt>
                <c:pt idx="213">
                  <c:v>192.01965501552311</c:v>
                </c:pt>
                <c:pt idx="214">
                  <c:v>194.33608612542028</c:v>
                </c:pt>
                <c:pt idx="215">
                  <c:v>196.64271809940792</c:v>
                </c:pt>
                <c:pt idx="216">
                  <c:v>198.93972855440705</c:v>
                </c:pt>
                <c:pt idx="217">
                  <c:v>201.22729167494879</c:v>
                </c:pt>
                <c:pt idx="218">
                  <c:v>203.50557831304317</c:v>
                </c:pt>
                <c:pt idx="219">
                  <c:v>205.77475608452283</c:v>
                </c:pt>
                <c:pt idx="220">
                  <c:v>208.03498946200847</c:v>
                </c:pt>
                <c:pt idx="221">
                  <c:v>210.28643986463587</c:v>
                </c:pt>
                <c:pt idx="222">
                  <c:v>212.52926574467736</c:v>
                </c:pt>
                <c:pt idx="223">
                  <c:v>214.76362267118344</c:v>
                </c:pt>
                <c:pt idx="224">
                  <c:v>216.98966341076465</c:v>
                </c:pt>
                <c:pt idx="225">
                  <c:v>219.20753800562744</c:v>
                </c:pt>
                <c:pt idx="226">
                  <c:v>221.4173938489721</c:v>
                </c:pt>
                <c:pt idx="227">
                  <c:v>223.61937575785583</c:v>
                </c:pt>
                <c:pt idx="228">
                  <c:v>225.8136260436184</c:v>
                </c:pt>
                <c:pt idx="229">
                  <c:v>228.00028457996353</c:v>
                </c:pt>
                <c:pt idx="230">
                  <c:v>230.17948886878412</c:v>
                </c:pt>
                <c:pt idx="231">
                  <c:v>232.35137410381523</c:v>
                </c:pt>
                <c:pt idx="232">
                  <c:v>234.5160732321946</c:v>
                </c:pt>
                <c:pt idx="233">
                  <c:v>236.67371701400617</c:v>
                </c:pt>
                <c:pt idx="234">
                  <c:v>238.82443407987887</c:v>
                </c:pt>
                <c:pt idx="235">
                  <c:v>240.96835098670826</c:v>
                </c:pt>
                <c:pt idx="236">
                  <c:v>243.10559227156628</c:v>
                </c:pt>
                <c:pt idx="237">
                  <c:v>245.23628050385997</c:v>
                </c:pt>
                <c:pt idx="238">
                  <c:v>247.36053633579743</c:v>
                </c:pt>
                <c:pt idx="239">
                  <c:v>249.47847855121557</c:v>
                </c:pt>
                <c:pt idx="240">
                  <c:v>251.59022411282183</c:v>
                </c:pt>
                <c:pt idx="241">
                  <c:v>253.69588820789849</c:v>
                </c:pt>
                <c:pt idx="242">
                  <c:v>255.79558429251563</c:v>
                </c:pt>
                <c:pt idx="243">
                  <c:v>257.88942413429584</c:v>
                </c:pt>
                <c:pt idx="244">
                  <c:v>259.9775178537713</c:v>
                </c:pt>
                <c:pt idx="245">
                  <c:v>262.05997396437056</c:v>
                </c:pt>
                <c:pt idx="246">
                  <c:v>264.13689941107077</c:v>
                </c:pt>
                <c:pt idx="247">
                  <c:v>266.20839960774691</c:v>
                </c:pt>
                <c:pt idx="248">
                  <c:v>268.27457847324871</c:v>
                </c:pt>
                <c:pt idx="249">
                  <c:v>270.3355384662317</c:v>
                </c:pt>
                <c:pt idx="250">
                  <c:v>272.39138061876764</c:v>
                </c:pt>
                <c:pt idx="251">
                  <c:v>274.44220456875559</c:v>
                </c:pt>
                <c:pt idx="252">
                  <c:v>276.48810859115326</c:v>
                </c:pt>
                <c:pt idx="253">
                  <c:v>278.52918962804506</c:v>
                </c:pt>
                <c:pt idx="254">
                  <c:v>280.5655433175603</c:v>
                </c:pt>
                <c:pt idx="255">
                  <c:v>282.59726402165262</c:v>
                </c:pt>
                <c:pt idx="256">
                  <c:v>284.62444485274813</c:v>
                </c:pt>
                <c:pt idx="257">
                  <c:v>286.64717769926676</c:v>
                </c:pt>
                <c:pt idx="258">
                  <c:v>288.66555325001889</c:v>
                </c:pt>
                <c:pt idx="259">
                  <c:v>290.67966101747413</c:v>
                </c:pt>
                <c:pt idx="260">
                  <c:v>292.68958935989718</c:v>
                </c:pt>
                <c:pt idx="261">
                  <c:v>294.69542550234104</c:v>
                </c:pt>
                <c:pt idx="262">
                  <c:v>296.69725555648353</c:v>
                </c:pt>
                <c:pt idx="263">
                  <c:v>298.69516453928901</c:v>
                </c:pt>
                <c:pt idx="264">
                  <c:v>300.68923639047262</c:v>
                </c:pt>
                <c:pt idx="265">
                  <c:v>302.67955398873818</c:v>
                </c:pt>
                <c:pt idx="266">
                  <c:v>304.66619916675666</c:v>
                </c:pt>
                <c:pt idx="267">
                  <c:v>306.64925272484527</c:v>
                </c:pt>
                <c:pt idx="268">
                  <c:v>308.62879444330054</c:v>
                </c:pt>
                <c:pt idx="269">
                  <c:v>310.6049030933321</c:v>
                </c:pt>
                <c:pt idx="270">
                  <c:v>312.57765644653557</c:v>
                </c:pt>
                <c:pt idx="271">
                  <c:v>314.54713128283458</c:v>
                </c:pt>
                <c:pt idx="272">
                  <c:v>316.51340339681246</c:v>
                </c:pt>
                <c:pt idx="273">
                  <c:v>318.47654760234371</c:v>
                </c:pt>
                <c:pt idx="274">
                  <c:v>320.43663773542471</c:v>
                </c:pt>
                <c:pt idx="275">
                  <c:v>322.39374665508939</c:v>
                </c:pt>
                <c:pt idx="276">
                  <c:v>324.34794624228351</c:v>
                </c:pt>
                <c:pt idx="277">
                  <c:v>326.29930739655561</c:v>
                </c:pt>
                <c:pt idx="278">
                  <c:v>328.2479000304067</c:v>
                </c:pt>
                <c:pt idx="279">
                  <c:v>330.19379306112279</c:v>
                </c:pt>
                <c:pt idx="280">
                  <c:v>332.13705439989667</c:v>
                </c:pt>
                <c:pt idx="281">
                  <c:v>334.07775093802309</c:v>
                </c:pt>
                <c:pt idx="282">
                  <c:v>336.01594852993117</c:v>
                </c:pt>
                <c:pt idx="283">
                  <c:v>337.95171197279404</c:v>
                </c:pt>
                <c:pt idx="284">
                  <c:v>339.88510498243153</c:v>
                </c:pt>
                <c:pt idx="285">
                  <c:v>341.81619016519721</c:v>
                </c:pt>
                <c:pt idx="286">
                  <c:v>343.74502898551532</c:v>
                </c:pt>
                <c:pt idx="287">
                  <c:v>345.6716817287097</c:v>
                </c:pt>
                <c:pt idx="288">
                  <c:v>347.59620745874344</c:v>
                </c:pt>
                <c:pt idx="289">
                  <c:v>349.51866397046865</c:v>
                </c:pt>
                <c:pt idx="290">
                  <c:v>351.4391077359719</c:v>
                </c:pt>
                <c:pt idx="291">
                  <c:v>353.35759384459413</c:v>
                </c:pt>
                <c:pt idx="292">
                  <c:v>355.27417593620925</c:v>
                </c:pt>
                <c:pt idx="293">
                  <c:v>357.18890612736493</c:v>
                </c:pt>
                <c:pt idx="294">
                  <c:v>359.10183492993116</c:v>
                </c:pt>
                <c:pt idx="295">
                  <c:v>361.01301116196697</c:v>
                </c:pt>
                <c:pt idx="296">
                  <c:v>362.92248185061806</c:v>
                </c:pt>
                <c:pt idx="297">
                  <c:v>364.83029212699716</c:v>
                </c:pt>
                <c:pt idx="298">
                  <c:v>366.73648511318834</c:v>
                </c:pt>
                <c:pt idx="299">
                  <c:v>368.64110180176004</c:v>
                </c:pt>
                <c:pt idx="300">
                  <c:v>370.54418092847476</c:v>
                </c:pt>
                <c:pt idx="301">
                  <c:v>372.44575883924836</c:v>
                </c:pt>
                <c:pt idx="302">
                  <c:v>374.34586935283323</c:v>
                </c:pt>
                <c:pt idx="303">
                  <c:v>376.24454362116677</c:v>
                </c:pt>
                <c:pt idx="304">
                  <c:v>378.141809989818</c:v>
                </c:pt>
                <c:pt idx="305">
                  <c:v>380.03769386144688</c:v>
                </c:pt>
                <c:pt idx="306">
                  <c:v>381.93221756562258</c:v>
                </c:pt>
                <c:pt idx="307">
                  <c:v>383.82540023867313</c:v>
                </c:pt>
                <c:pt idx="308">
                  <c:v>385.71725771740762</c:v>
                </c:pt>
                <c:pt idx="309">
                  <c:v>387.60780245051029</c:v>
                </c:pt>
                <c:pt idx="310">
                  <c:v>389.49704343111966</c:v>
                </c:pt>
                <c:pt idx="311">
                  <c:v>391.38498615355854</c:v>
                </c:pt>
                <c:pt idx="312">
                  <c:v>393.27163259639588</c:v>
                </c:pt>
                <c:pt idx="313">
                  <c:v>395.15698123304543</c:v>
                </c:pt>
                <c:pt idx="314">
                  <c:v>397.04102707002102</c:v>
                </c:pt>
                <c:pt idx="315">
                  <c:v>398.92376171187158</c:v>
                </c:pt>
                <c:pt idx="316">
                  <c:v>400.80517345080727</c:v>
                </c:pt>
                <c:pt idx="317">
                  <c:v>402.68524737818944</c:v>
                </c:pt>
                <c:pt idx="318">
                  <c:v>404.56396551444982</c:v>
                </c:pt>
                <c:pt idx="319">
                  <c:v>406.4413069536559</c:v>
                </c:pt>
                <c:pt idx="320">
                  <c:v>408.31724801884326</c:v>
                </c:pt>
                <c:pt idx="321">
                  <c:v>410.19176242436373</c:v>
                </c:pt>
                <c:pt idx="322">
                  <c:v>412.06482144179716</c:v>
                </c:pt>
                <c:pt idx="323">
                  <c:v>413.93639406639312</c:v>
                </c:pt>
                <c:pt idx="324">
                  <c:v>415.80644718149108</c:v>
                </c:pt>
                <c:pt idx="325">
                  <c:v>417.67494571886766</c:v>
                </c:pt>
                <c:pt idx="326">
                  <c:v>419.54185281344098</c:v>
                </c:pt>
                <c:pt idx="327">
                  <c:v>421.40712995120253</c:v>
                </c:pt>
                <c:pt idx="328">
                  <c:v>423.27073710962986</c:v>
                </c:pt>
                <c:pt idx="329">
                  <c:v>425.13263289015447</c:v>
                </c:pt>
                <c:pt idx="330">
                  <c:v>426.99277464251873</c:v>
                </c:pt>
                <c:pt idx="331">
                  <c:v>428.85111858105813</c:v>
                </c:pt>
                <c:pt idx="332">
                  <c:v>430.70761989309597</c:v>
                </c:pt>
                <c:pt idx="333">
                  <c:v>432.56223283974657</c:v>
                </c:pt>
                <c:pt idx="334">
                  <c:v>434.41491084949564</c:v>
                </c:pt>
                <c:pt idx="335">
                  <c:v>436.26560660497211</c:v>
                </c:pt>
                <c:pt idx="336">
                  <c:v>438.11427212334792</c:v>
                </c:pt>
                <c:pt idx="337">
                  <c:v>439.96085883080963</c:v>
                </c:pt>
                <c:pt idx="338">
                  <c:v>441.80531763153954</c:v>
                </c:pt>
                <c:pt idx="339">
                  <c:v>443.64759897163037</c:v>
                </c:pt>
                <c:pt idx="340">
                  <c:v>445.48765289833807</c:v>
                </c:pt>
                <c:pt idx="341">
                  <c:v>447.32542911505374</c:v>
                </c:pt>
                <c:pt idx="342">
                  <c:v>449.16087703235092</c:v>
                </c:pt>
                <c:pt idx="343">
                  <c:v>450.99394581543851</c:v>
                </c:pt>
                <c:pt idx="344">
                  <c:v>452.82458442832393</c:v>
                </c:pt>
                <c:pt idx="345">
                  <c:v>454.65274167496676</c:v>
                </c:pt>
                <c:pt idx="346">
                  <c:v>456.47836623767819</c:v>
                </c:pt>
                <c:pt idx="347">
                  <c:v>458.30140671300046</c:v>
                </c:pt>
                <c:pt idx="348">
                  <c:v>460.12181164527857</c:v>
                </c:pt>
                <c:pt idx="349">
                  <c:v>461.93952955811784</c:v>
                </c:pt>
                <c:pt idx="350">
                  <c:v>463.7545089839025</c:v>
                </c:pt>
                <c:pt idx="351">
                  <c:v>465.56669849153479</c:v>
                </c:pt>
                <c:pt idx="352">
                  <c:v>467.37604671253854</c:v>
                </c:pt>
                <c:pt idx="353">
                  <c:v>469.18250236565785</c:v>
                </c:pt>
                <c:pt idx="354">
                  <c:v>470.9860142800697</c:v>
                </c:pt>
                <c:pt idx="355">
                  <c:v>472.78653141731684</c:v>
                </c:pt>
                <c:pt idx="356">
                  <c:v>474.58400289205917</c:v>
                </c:pt>
                <c:pt idx="357">
                  <c:v>476.37837799173087</c:v>
                </c:pt>
                <c:pt idx="358">
                  <c:v>478.16960619518312</c:v>
                </c:pt>
                <c:pt idx="359">
                  <c:v>479.95763719038536</c:v>
                </c:pt>
                <c:pt idx="360">
                  <c:v>481.74242089124994</c:v>
                </c:pt>
                <c:pt idx="361">
                  <c:v>483.52390745364079</c:v>
                </c:pt>
                <c:pt idx="362">
                  <c:v>485.30204729061927</c:v>
                </c:pt>
                <c:pt idx="363">
                  <c:v>487.0767910869771</c:v>
                </c:pt>
                <c:pt idx="364">
                  <c:v>488.8480898131013</c:v>
                </c:pt>
                <c:pt idx="365">
                  <c:v>490.61589473821147</c:v>
                </c:pt>
                <c:pt idx="366">
                  <c:v>492.38015744300725</c:v>
                </c:pt>
                <c:pt idx="367">
                  <c:v>494.14082983175928</c:v>
                </c:pt>
                <c:pt idx="368">
                  <c:v>495.89786414387527</c:v>
                </c:pt>
                <c:pt idx="369">
                  <c:v>497.65121296496915</c:v>
                </c:pt>
                <c:pt idx="370">
                  <c:v>499.40082923745967</c:v>
                </c:pt>
                <c:pt idx="371">
                  <c:v>501.14666627072148</c:v>
                </c:pt>
                <c:pt idx="372">
                  <c:v>502.88867775081138</c:v>
                </c:pt>
                <c:pt idx="373">
                  <c:v>504.6268177497891</c:v>
                </c:pt>
                <c:pt idx="374">
                  <c:v>506.36104073465117</c:v>
                </c:pt>
                <c:pt idx="375">
                  <c:v>508.0913015758951</c:v>
                </c:pt>
                <c:pt idx="376">
                  <c:v>509.8175555557288</c:v>
                </c:pt>
                <c:pt idx="377">
                  <c:v>511.53975837594044</c:v>
                </c:pt>
                <c:pt idx="378">
                  <c:v>513.25786616544121</c:v>
                </c:pt>
                <c:pt idx="379">
                  <c:v>514.97183548749388</c:v>
                </c:pt>
                <c:pt idx="380">
                  <c:v>516.68162334663828</c:v>
                </c:pt>
                <c:pt idx="381">
                  <c:v>518.38718719532415</c:v>
                </c:pt>
                <c:pt idx="382">
                  <c:v>520.0884849402612</c:v>
                </c:pt>
                <c:pt idx="383">
                  <c:v>521.7854749484959</c:v>
                </c:pt>
                <c:pt idx="384">
                  <c:v>523.47811605322272</c:v>
                </c:pt>
                <c:pt idx="385">
                  <c:v>525.16636755933837</c:v>
                </c:pt>
                <c:pt idx="386">
                  <c:v>526.85018924874623</c:v>
                </c:pt>
                <c:pt idx="387">
                  <c:v>528.52954138541782</c:v>
                </c:pt>
                <c:pt idx="388">
                  <c:v>530.20438472021806</c:v>
                </c:pt>
                <c:pt idx="389">
                  <c:v>531.87468049550012</c:v>
                </c:pt>
                <c:pt idx="390">
                  <c:v>533.54039044947604</c:v>
                </c:pt>
                <c:pt idx="391">
                  <c:v>535.20147682036782</c:v>
                </c:pt>
                <c:pt idx="392">
                  <c:v>536.85790235034528</c:v>
                </c:pt>
                <c:pt idx="393">
                  <c:v>538.50963028925435</c:v>
                </c:pt>
                <c:pt idx="394">
                  <c:v>540.15662439814105</c:v>
                </c:pt>
                <c:pt idx="395">
                  <c:v>541.79884895257567</c:v>
                </c:pt>
                <c:pt idx="396">
                  <c:v>543.43626874578081</c:v>
                </c:pt>
                <c:pt idx="397">
                  <c:v>545.06884909156804</c:v>
                </c:pt>
                <c:pt idx="398">
                  <c:v>546.69655582708617</c:v>
                </c:pt>
                <c:pt idx="399">
                  <c:v>548.31935531538534</c:v>
                </c:pt>
                <c:pt idx="400">
                  <c:v>549.93721444780044</c:v>
                </c:pt>
                <c:pt idx="401">
                  <c:v>551.55010064615749</c:v>
                </c:pt>
                <c:pt idx="402">
                  <c:v>553.15798186480515</c:v>
                </c:pt>
                <c:pt idx="403">
                  <c:v>554.76082659247618</c:v>
                </c:pt>
                <c:pt idx="404">
                  <c:v>556.35860385398087</c:v>
                </c:pt>
                <c:pt idx="405">
                  <c:v>557.95128321173547</c:v>
                </c:pt>
                <c:pt idx="406">
                  <c:v>559.5388347671294</c:v>
                </c:pt>
                <c:pt idx="407">
                  <c:v>561.12122916173257</c:v>
                </c:pt>
                <c:pt idx="408">
                  <c:v>562.69843757834724</c:v>
                </c:pt>
                <c:pt idx="409">
                  <c:v>564.27043174190612</c:v>
                </c:pt>
                <c:pt idx="410">
                  <c:v>565.83718392021979</c:v>
                </c:pt>
                <c:pt idx="411">
                  <c:v>567.39866692457565</c:v>
                </c:pt>
                <c:pt idx="412">
                  <c:v>568.95485411019126</c:v>
                </c:pt>
                <c:pt idx="413">
                  <c:v>570.50571937652512</c:v>
                </c:pt>
                <c:pt idx="414">
                  <c:v>572.05123716744595</c:v>
                </c:pt>
                <c:pt idx="415">
                  <c:v>573.59138247126464</c:v>
                </c:pt>
                <c:pt idx="416">
                  <c:v>575.12613082062978</c:v>
                </c:pt>
                <c:pt idx="417">
                  <c:v>576.65545829229063</c:v>
                </c:pt>
                <c:pt idx="418">
                  <c:v>578.17934150672818</c:v>
                </c:pt>
                <c:pt idx="419">
                  <c:v>579.69775762765858</c:v>
                </c:pt>
                <c:pt idx="420">
                  <c:v>581.21068436140956</c:v>
                </c:pt>
                <c:pt idx="421">
                  <c:v>582.71809995617309</c:v>
                </c:pt>
                <c:pt idx="422">
                  <c:v>584.21998320113653</c:v>
                </c:pt>
                <c:pt idx="423">
                  <c:v>585.71631342549426</c:v>
                </c:pt>
                <c:pt idx="424">
                  <c:v>587.20707049734187</c:v>
                </c:pt>
                <c:pt idx="425">
                  <c:v>588.69223482245604</c:v>
                </c:pt>
                <c:pt idx="426">
                  <c:v>590.17178734296112</c:v>
                </c:pt>
                <c:pt idx="427">
                  <c:v>591.64570953588566</c:v>
                </c:pt>
                <c:pt idx="428">
                  <c:v>593.11398341161021</c:v>
                </c:pt>
                <c:pt idx="429">
                  <c:v>594.57659151220969</c:v>
                </c:pt>
                <c:pt idx="430">
                  <c:v>596.03351690969134</c:v>
                </c:pt>
                <c:pt idx="431">
                  <c:v>597.48474320413129</c:v>
                </c:pt>
                <c:pt idx="432">
                  <c:v>598.93025452171116</c:v>
                </c:pt>
                <c:pt idx="433">
                  <c:v>600.37003551265786</c:v>
                </c:pt>
                <c:pt idx="434">
                  <c:v>601.80407134908751</c:v>
                </c:pt>
                <c:pt idx="435">
                  <c:v>603.2323477227568</c:v>
                </c:pt>
                <c:pt idx="436">
                  <c:v>604.65485084272268</c:v>
                </c:pt>
                <c:pt idx="437">
                  <c:v>606.07156743291387</c:v>
                </c:pt>
                <c:pt idx="438">
                  <c:v>607.48248472961518</c:v>
                </c:pt>
                <c:pt idx="439">
                  <c:v>608.8875904788672</c:v>
                </c:pt>
                <c:pt idx="440">
                  <c:v>610.28687293378346</c:v>
                </c:pt>
                <c:pt idx="441">
                  <c:v>611.68032085178686</c:v>
                </c:pt>
                <c:pt idx="442">
                  <c:v>613.06792349176806</c:v>
                </c:pt>
                <c:pt idx="443">
                  <c:v>614.44967061116699</c:v>
                </c:pt>
                <c:pt idx="444">
                  <c:v>615.82555246298034</c:v>
                </c:pt>
                <c:pt idx="445">
                  <c:v>617.19555979269637</c:v>
                </c:pt>
                <c:pt idx="446">
                  <c:v>618.55968383515983</c:v>
                </c:pt>
                <c:pt idx="447">
                  <c:v>619.91791631136846</c:v>
                </c:pt>
                <c:pt idx="448">
                  <c:v>621.27024942520268</c:v>
                </c:pt>
                <c:pt idx="449">
                  <c:v>622.61667586009196</c:v>
                </c:pt>
                <c:pt idx="450">
                  <c:v>623.95718877561774</c:v>
                </c:pt>
                <c:pt idx="451">
                  <c:v>625.29178180405688</c:v>
                </c:pt>
                <c:pt idx="452">
                  <c:v>626.62044904686604</c:v>
                </c:pt>
                <c:pt idx="453">
                  <c:v>627.94318507111007</c:v>
                </c:pt>
                <c:pt idx="454">
                  <c:v>629.25998490583515</c:v>
                </c:pt>
                <c:pt idx="455">
                  <c:v>630.57084403839019</c:v>
                </c:pt>
                <c:pt idx="456">
                  <c:v>631.87575841069633</c:v>
                </c:pt>
                <c:pt idx="457">
                  <c:v>633.1747244154684</c:v>
                </c:pt>
                <c:pt idx="458">
                  <c:v>634.46773889238898</c:v>
                </c:pt>
                <c:pt idx="459">
                  <c:v>635.75479912423714</c:v>
                </c:pt>
                <c:pt idx="460">
                  <c:v>637.03590283297365</c:v>
                </c:pt>
                <c:pt idx="461">
                  <c:v>638.31104817578534</c:v>
                </c:pt>
                <c:pt idx="462">
                  <c:v>639.5802337410887</c:v>
                </c:pt>
                <c:pt idx="463">
                  <c:v>640.843458544496</c:v>
                </c:pt>
                <c:pt idx="464">
                  <c:v>642.10072202474498</c:v>
                </c:pt>
                <c:pt idx="465">
                  <c:v>643.35202403959397</c:v>
                </c:pt>
                <c:pt idx="466">
                  <c:v>644.59736486168424</c:v>
                </c:pt>
                <c:pt idx="467">
                  <c:v>645.83674517437112</c:v>
                </c:pt>
                <c:pt idx="468">
                  <c:v>647.07016606752597</c:v>
                </c:pt>
                <c:pt idx="469">
                  <c:v>648.2976290333097</c:v>
                </c:pt>
                <c:pt idx="470">
                  <c:v>649.51913596192082</c:v>
                </c:pt>
                <c:pt idx="471">
                  <c:v>650.73468913731847</c:v>
                </c:pt>
                <c:pt idx="472">
                  <c:v>651.94429123292275</c:v>
                </c:pt>
                <c:pt idx="473">
                  <c:v>653.14794530729375</c:v>
                </c:pt>
                <c:pt idx="474">
                  <c:v>654.34565479979017</c:v>
                </c:pt>
                <c:pt idx="475">
                  <c:v>655.53742352621055</c:v>
                </c:pt>
                <c:pt idx="476">
                  <c:v>656.72325567441703</c:v>
                </c:pt>
                <c:pt idx="477">
                  <c:v>657.90315579994399</c:v>
                </c:pt>
                <c:pt idx="478">
                  <c:v>659.07712882159308</c:v>
                </c:pt>
                <c:pt idx="479">
                  <c:v>660.24518001701563</c:v>
                </c:pt>
                <c:pt idx="480">
                  <c:v>661.40731501828407</c:v>
                </c:pt>
                <c:pt idx="481">
                  <c:v>662.56353980745428</c:v>
                </c:pt>
                <c:pt idx="482">
                  <c:v>663.71386071211896</c:v>
                </c:pt>
                <c:pt idx="483">
                  <c:v>664.85828440095486</c:v>
                </c:pt>
                <c:pt idx="484">
                  <c:v>665.99681787926431</c:v>
                </c:pt>
                <c:pt idx="485">
                  <c:v>667.12946848451247</c:v>
                </c:pt>
                <c:pt idx="486">
                  <c:v>668.25624388186156</c:v>
                </c:pt>
                <c:pt idx="487">
                  <c:v>669.3771520597038</c:v>
                </c:pt>
                <c:pt idx="488">
                  <c:v>670.49220132519406</c:v>
                </c:pt>
                <c:pt idx="489">
                  <c:v>671.60140029978243</c:v>
                </c:pt>
                <c:pt idx="490">
                  <c:v>672.70475791475008</c:v>
                </c:pt>
                <c:pt idx="491">
                  <c:v>673.80228340674716</c:v>
                </c:pt>
                <c:pt idx="492">
                  <c:v>674.89398631333574</c:v>
                </c:pt>
                <c:pt idx="493">
                  <c:v>675.97987646853801</c:v>
                </c:pt>
                <c:pt idx="494">
                  <c:v>677.05996399839069</c:v>
                </c:pt>
                <c:pt idx="495">
                  <c:v>678.13425931650761</c:v>
                </c:pt>
                <c:pt idx="496">
                  <c:v>679.20277311965049</c:v>
                </c:pt>
                <c:pt idx="497">
                  <c:v>680.26551638330989</c:v>
                </c:pt>
                <c:pt idx="498">
                  <c:v>681.32250035729624</c:v>
                </c:pt>
                <c:pt idx="499">
                  <c:v>682.37373656134298</c:v>
                </c:pt>
                <c:pt idx="500">
                  <c:v>683.41923678072249</c:v>
                </c:pt>
                <c:pt idx="501">
                  <c:v>684.45901306187488</c:v>
                </c:pt>
                <c:pt idx="502">
                  <c:v>685.49307770805217</c:v>
                </c:pt>
                <c:pt idx="503">
                  <c:v>686.52144327497706</c:v>
                </c:pt>
                <c:pt idx="504">
                  <c:v>687.54412256651858</c:v>
                </c:pt>
                <c:pt idx="505">
                  <c:v>688.56112863038425</c:v>
                </c:pt>
                <c:pt idx="506">
                  <c:v>689.57247475383031</c:v>
                </c:pt>
                <c:pt idx="507">
                  <c:v>690.57817445939122</c:v>
                </c:pt>
                <c:pt idx="508">
                  <c:v>691.57824150062766</c:v>
                </c:pt>
                <c:pt idx="509">
                  <c:v>692.57268985789551</c:v>
                </c:pt>
                <c:pt idx="510">
                  <c:v>693.56153373413531</c:v>
                </c:pt>
                <c:pt idx="511">
                  <c:v>694.54478755068385</c:v>
                </c:pt>
                <c:pt idx="512">
                  <c:v>695.52246594310759</c:v>
                </c:pt>
                <c:pt idx="513">
                  <c:v>696.49458375705967</c:v>
                </c:pt>
                <c:pt idx="514">
                  <c:v>697.46115604416025</c:v>
                </c:pt>
                <c:pt idx="515">
                  <c:v>698.4221980579008</c:v>
                </c:pt>
                <c:pt idx="516">
                  <c:v>699.37772524957415</c:v>
                </c:pt>
                <c:pt idx="517">
                  <c:v>700.32775326422927</c:v>
                </c:pt>
                <c:pt idx="518">
                  <c:v>701.27229793665254</c:v>
                </c:pt>
                <c:pt idx="519">
                  <c:v>702.21137528737529</c:v>
                </c:pt>
                <c:pt idx="520">
                  <c:v>703.14500151870845</c:v>
                </c:pt>
                <c:pt idx="521">
                  <c:v>704.07319301080531</c:v>
                </c:pt>
                <c:pt idx="522">
                  <c:v>704.99596631775148</c:v>
                </c:pt>
                <c:pt idx="523">
                  <c:v>705.91333816368456</c:v>
                </c:pt>
                <c:pt idx="524">
                  <c:v>706.82532543894138</c:v>
                </c:pt>
                <c:pt idx="525">
                  <c:v>707.73194519623621</c:v>
                </c:pt>
                <c:pt idx="526">
                  <c:v>708.63321464686749</c:v>
                </c:pt>
                <c:pt idx="527">
                  <c:v>709.52915115695555</c:v>
                </c:pt>
                <c:pt idx="528">
                  <c:v>710.41977224371067</c:v>
                </c:pt>
                <c:pt idx="529">
                  <c:v>711.30509557173207</c:v>
                </c:pt>
                <c:pt idx="530">
                  <c:v>712.18513894933824</c:v>
                </c:pt>
                <c:pt idx="531">
                  <c:v>712.18513894933824</c:v>
                </c:pt>
                <c:pt idx="532">
                  <c:v>712.18513894933824</c:v>
                </c:pt>
                <c:pt idx="533">
                  <c:v>712.18513894933824</c:v>
                </c:pt>
                <c:pt idx="534">
                  <c:v>712.18513894933824</c:v>
                </c:pt>
                <c:pt idx="535">
                  <c:v>712.18513894933824</c:v>
                </c:pt>
                <c:pt idx="536">
                  <c:v>712.18513894933824</c:v>
                </c:pt>
                <c:pt idx="537">
                  <c:v>712.18513894933824</c:v>
                </c:pt>
                <c:pt idx="538">
                  <c:v>712.18513894933824</c:v>
                </c:pt>
                <c:pt idx="539">
                  <c:v>712.18513894933824</c:v>
                </c:pt>
                <c:pt idx="540">
                  <c:v>712.18513894933824</c:v>
                </c:pt>
                <c:pt idx="541">
                  <c:v>712.18513894933824</c:v>
                </c:pt>
                <c:pt idx="542">
                  <c:v>712.18513894933824</c:v>
                </c:pt>
                <c:pt idx="543">
                  <c:v>712.18513894933824</c:v>
                </c:pt>
                <c:pt idx="544">
                  <c:v>712.18513894933824</c:v>
                </c:pt>
                <c:pt idx="545">
                  <c:v>712.18513894933824</c:v>
                </c:pt>
                <c:pt idx="546">
                  <c:v>712.18513894933824</c:v>
                </c:pt>
                <c:pt idx="547">
                  <c:v>712.18513894933824</c:v>
                </c:pt>
                <c:pt idx="548">
                  <c:v>712.18513894933824</c:v>
                </c:pt>
                <c:pt idx="549">
                  <c:v>712.18513894933824</c:v>
                </c:pt>
                <c:pt idx="550">
                  <c:v>712.18513894933824</c:v>
                </c:pt>
                <c:pt idx="551">
                  <c:v>712.18513894933824</c:v>
                </c:pt>
                <c:pt idx="552">
                  <c:v>712.18513894933824</c:v>
                </c:pt>
                <c:pt idx="553">
                  <c:v>712.18513894933824</c:v>
                </c:pt>
                <c:pt idx="554">
                  <c:v>712.18513894933824</c:v>
                </c:pt>
                <c:pt idx="555">
                  <c:v>712.18513894933824</c:v>
                </c:pt>
                <c:pt idx="556">
                  <c:v>712.18513894933824</c:v>
                </c:pt>
                <c:pt idx="557">
                  <c:v>712.18513894933824</c:v>
                </c:pt>
                <c:pt idx="558">
                  <c:v>712.18513894933824</c:v>
                </c:pt>
                <c:pt idx="559">
                  <c:v>712.18513894933824</c:v>
                </c:pt>
                <c:pt idx="560">
                  <c:v>712.18513894933824</c:v>
                </c:pt>
                <c:pt idx="561">
                  <c:v>712.18513894933824</c:v>
                </c:pt>
                <c:pt idx="562">
                  <c:v>712.18513894933824</c:v>
                </c:pt>
                <c:pt idx="563">
                  <c:v>712.18513894933824</c:v>
                </c:pt>
                <c:pt idx="564">
                  <c:v>712.18513894933824</c:v>
                </c:pt>
                <c:pt idx="565">
                  <c:v>712.18513894933824</c:v>
                </c:pt>
                <c:pt idx="566">
                  <c:v>712.18513894933824</c:v>
                </c:pt>
                <c:pt idx="567">
                  <c:v>712.18513894933824</c:v>
                </c:pt>
                <c:pt idx="568">
                  <c:v>712.18513894933824</c:v>
                </c:pt>
                <c:pt idx="569">
                  <c:v>712.18513894933824</c:v>
                </c:pt>
                <c:pt idx="570">
                  <c:v>712.18513894933824</c:v>
                </c:pt>
                <c:pt idx="571">
                  <c:v>712.18513894933824</c:v>
                </c:pt>
                <c:pt idx="572">
                  <c:v>712.18513894933824</c:v>
                </c:pt>
                <c:pt idx="573">
                  <c:v>712.18513894933824</c:v>
                </c:pt>
                <c:pt idx="574">
                  <c:v>712.18513894933824</c:v>
                </c:pt>
                <c:pt idx="575">
                  <c:v>712.18513894933824</c:v>
                </c:pt>
                <c:pt idx="576">
                  <c:v>712.18513894933824</c:v>
                </c:pt>
                <c:pt idx="577">
                  <c:v>712.18513894933824</c:v>
                </c:pt>
                <c:pt idx="578">
                  <c:v>712.18513894933824</c:v>
                </c:pt>
                <c:pt idx="579">
                  <c:v>712.18513894933824</c:v>
                </c:pt>
                <c:pt idx="580">
                  <c:v>712.18513894933824</c:v>
                </c:pt>
                <c:pt idx="581">
                  <c:v>712.18513894933824</c:v>
                </c:pt>
                <c:pt idx="582">
                  <c:v>712.18513894933824</c:v>
                </c:pt>
                <c:pt idx="583">
                  <c:v>712.18513894933824</c:v>
                </c:pt>
                <c:pt idx="584">
                  <c:v>712.18513894933824</c:v>
                </c:pt>
                <c:pt idx="585">
                  <c:v>712.18513894933824</c:v>
                </c:pt>
                <c:pt idx="586">
                  <c:v>712.18513894933824</c:v>
                </c:pt>
                <c:pt idx="587">
                  <c:v>712.18513894933824</c:v>
                </c:pt>
                <c:pt idx="588">
                  <c:v>712.18513894933824</c:v>
                </c:pt>
                <c:pt idx="589">
                  <c:v>712.18513894933824</c:v>
                </c:pt>
                <c:pt idx="590">
                  <c:v>712.18513894933824</c:v>
                </c:pt>
                <c:pt idx="591">
                  <c:v>712.18513894933824</c:v>
                </c:pt>
                <c:pt idx="592">
                  <c:v>712.18513894933824</c:v>
                </c:pt>
                <c:pt idx="593">
                  <c:v>712.18513894933824</c:v>
                </c:pt>
                <c:pt idx="594">
                  <c:v>712.18513894933824</c:v>
                </c:pt>
                <c:pt idx="595">
                  <c:v>712.18513894933824</c:v>
                </c:pt>
                <c:pt idx="596">
                  <c:v>712.18513894933824</c:v>
                </c:pt>
                <c:pt idx="597">
                  <c:v>712.18513894933824</c:v>
                </c:pt>
                <c:pt idx="598">
                  <c:v>712.18513894933824</c:v>
                </c:pt>
                <c:pt idx="599">
                  <c:v>712.18513894933824</c:v>
                </c:pt>
                <c:pt idx="600">
                  <c:v>712.18513894933824</c:v>
                </c:pt>
                <c:pt idx="601">
                  <c:v>712.18513894933824</c:v>
                </c:pt>
                <c:pt idx="602">
                  <c:v>712.18513894933824</c:v>
                </c:pt>
                <c:pt idx="603">
                  <c:v>712.18513894933824</c:v>
                </c:pt>
                <c:pt idx="604">
                  <c:v>712.18513894933824</c:v>
                </c:pt>
                <c:pt idx="605">
                  <c:v>712.18513894933824</c:v>
                </c:pt>
                <c:pt idx="606">
                  <c:v>712.18513894933824</c:v>
                </c:pt>
                <c:pt idx="607">
                  <c:v>712.18513894933824</c:v>
                </c:pt>
                <c:pt idx="608">
                  <c:v>712.18513894933824</c:v>
                </c:pt>
                <c:pt idx="609">
                  <c:v>712.18513894933824</c:v>
                </c:pt>
                <c:pt idx="610">
                  <c:v>712.18513894933824</c:v>
                </c:pt>
                <c:pt idx="611">
                  <c:v>712.18513894933824</c:v>
                </c:pt>
                <c:pt idx="612">
                  <c:v>712.18513894933824</c:v>
                </c:pt>
                <c:pt idx="613">
                  <c:v>712.18513894933824</c:v>
                </c:pt>
                <c:pt idx="614">
                  <c:v>712.18513894933824</c:v>
                </c:pt>
                <c:pt idx="615">
                  <c:v>712.18513894933824</c:v>
                </c:pt>
                <c:pt idx="616">
                  <c:v>712.18513894933824</c:v>
                </c:pt>
                <c:pt idx="617">
                  <c:v>712.18513894933824</c:v>
                </c:pt>
                <c:pt idx="618">
                  <c:v>712.18513894933824</c:v>
                </c:pt>
                <c:pt idx="619">
                  <c:v>712.18513894933824</c:v>
                </c:pt>
                <c:pt idx="620">
                  <c:v>712.18513894933824</c:v>
                </c:pt>
                <c:pt idx="621">
                  <c:v>712.18513894933824</c:v>
                </c:pt>
                <c:pt idx="622">
                  <c:v>712.18513894933824</c:v>
                </c:pt>
                <c:pt idx="623">
                  <c:v>712.18513894933824</c:v>
                </c:pt>
                <c:pt idx="624">
                  <c:v>712.18513894933824</c:v>
                </c:pt>
                <c:pt idx="625">
                  <c:v>712.18513894933824</c:v>
                </c:pt>
                <c:pt idx="626">
                  <c:v>712.18513894933824</c:v>
                </c:pt>
                <c:pt idx="627">
                  <c:v>712.18513894933824</c:v>
                </c:pt>
                <c:pt idx="628">
                  <c:v>712.18513894933824</c:v>
                </c:pt>
                <c:pt idx="629">
                  <c:v>712.18513894933824</c:v>
                </c:pt>
                <c:pt idx="630">
                  <c:v>712.18513894933824</c:v>
                </c:pt>
                <c:pt idx="631">
                  <c:v>712.18513894933824</c:v>
                </c:pt>
                <c:pt idx="632">
                  <c:v>712.18513894933824</c:v>
                </c:pt>
                <c:pt idx="633">
                  <c:v>712.18513894933824</c:v>
                </c:pt>
                <c:pt idx="634">
                  <c:v>712.18513894933824</c:v>
                </c:pt>
                <c:pt idx="635">
                  <c:v>712.18513894933824</c:v>
                </c:pt>
                <c:pt idx="636">
                  <c:v>712.18513894933824</c:v>
                </c:pt>
                <c:pt idx="637">
                  <c:v>712.18513894933824</c:v>
                </c:pt>
                <c:pt idx="638">
                  <c:v>712.18513894933824</c:v>
                </c:pt>
                <c:pt idx="639">
                  <c:v>712.18513894933824</c:v>
                </c:pt>
                <c:pt idx="640">
                  <c:v>712.18513894933824</c:v>
                </c:pt>
                <c:pt idx="641">
                  <c:v>712.18513894933824</c:v>
                </c:pt>
                <c:pt idx="642">
                  <c:v>712.18513894933824</c:v>
                </c:pt>
                <c:pt idx="643">
                  <c:v>712.18513894933824</c:v>
                </c:pt>
                <c:pt idx="644">
                  <c:v>712.18513894933824</c:v>
                </c:pt>
                <c:pt idx="645">
                  <c:v>712.18513894933824</c:v>
                </c:pt>
                <c:pt idx="646">
                  <c:v>712.18513894933824</c:v>
                </c:pt>
                <c:pt idx="647">
                  <c:v>712.18513894933824</c:v>
                </c:pt>
                <c:pt idx="648">
                  <c:v>712.18513894933824</c:v>
                </c:pt>
                <c:pt idx="649">
                  <c:v>712.18513894933824</c:v>
                </c:pt>
                <c:pt idx="650">
                  <c:v>712.18513894933824</c:v>
                </c:pt>
                <c:pt idx="651">
                  <c:v>712.18513894933824</c:v>
                </c:pt>
                <c:pt idx="652">
                  <c:v>712.18513894933824</c:v>
                </c:pt>
                <c:pt idx="653">
                  <c:v>712.18513894933824</c:v>
                </c:pt>
                <c:pt idx="654">
                  <c:v>712.18513894933824</c:v>
                </c:pt>
                <c:pt idx="655">
                  <c:v>712.18513894933824</c:v>
                </c:pt>
                <c:pt idx="656">
                  <c:v>712.18513894933824</c:v>
                </c:pt>
                <c:pt idx="657">
                  <c:v>712.18513894933824</c:v>
                </c:pt>
                <c:pt idx="658">
                  <c:v>712.18513894933824</c:v>
                </c:pt>
                <c:pt idx="659">
                  <c:v>712.18513894933824</c:v>
                </c:pt>
                <c:pt idx="660">
                  <c:v>712.18513894933824</c:v>
                </c:pt>
                <c:pt idx="661">
                  <c:v>712.18513894933824</c:v>
                </c:pt>
                <c:pt idx="662">
                  <c:v>712.18513894933824</c:v>
                </c:pt>
                <c:pt idx="663">
                  <c:v>712.18513894933824</c:v>
                </c:pt>
                <c:pt idx="664">
                  <c:v>712.18513894933824</c:v>
                </c:pt>
                <c:pt idx="665">
                  <c:v>712.18513894933824</c:v>
                </c:pt>
                <c:pt idx="666">
                  <c:v>712.18513894933824</c:v>
                </c:pt>
                <c:pt idx="667">
                  <c:v>712.18513894933824</c:v>
                </c:pt>
                <c:pt idx="668">
                  <c:v>712.18513894933824</c:v>
                </c:pt>
                <c:pt idx="669">
                  <c:v>712.18513894933824</c:v>
                </c:pt>
                <c:pt idx="670">
                  <c:v>712.18513894933824</c:v>
                </c:pt>
                <c:pt idx="671">
                  <c:v>712.18513894933824</c:v>
                </c:pt>
                <c:pt idx="672">
                  <c:v>712.18513894933824</c:v>
                </c:pt>
                <c:pt idx="673">
                  <c:v>712.18513894933824</c:v>
                </c:pt>
                <c:pt idx="674">
                  <c:v>712.18513894933824</c:v>
                </c:pt>
                <c:pt idx="675">
                  <c:v>712.18513894933824</c:v>
                </c:pt>
                <c:pt idx="676">
                  <c:v>712.18513894933824</c:v>
                </c:pt>
                <c:pt idx="677">
                  <c:v>712.18513894933824</c:v>
                </c:pt>
                <c:pt idx="678">
                  <c:v>712.18513894933824</c:v>
                </c:pt>
                <c:pt idx="679">
                  <c:v>712.18513894933824</c:v>
                </c:pt>
                <c:pt idx="680">
                  <c:v>712.18513894933824</c:v>
                </c:pt>
                <c:pt idx="681">
                  <c:v>712.18513894933824</c:v>
                </c:pt>
                <c:pt idx="682">
                  <c:v>712.18513894933824</c:v>
                </c:pt>
                <c:pt idx="683">
                  <c:v>712.18513894933824</c:v>
                </c:pt>
                <c:pt idx="684">
                  <c:v>712.18513894933824</c:v>
                </c:pt>
                <c:pt idx="685">
                  <c:v>712.18513894933824</c:v>
                </c:pt>
                <c:pt idx="686">
                  <c:v>712.18513894933824</c:v>
                </c:pt>
                <c:pt idx="687">
                  <c:v>712.18513894933824</c:v>
                </c:pt>
                <c:pt idx="688">
                  <c:v>712.18513894933824</c:v>
                </c:pt>
                <c:pt idx="689">
                  <c:v>712.18513894933824</c:v>
                </c:pt>
                <c:pt idx="690">
                  <c:v>712.18513894933824</c:v>
                </c:pt>
                <c:pt idx="691">
                  <c:v>712.18513894933824</c:v>
                </c:pt>
                <c:pt idx="692">
                  <c:v>712.18513894933824</c:v>
                </c:pt>
                <c:pt idx="693">
                  <c:v>712.18513894933824</c:v>
                </c:pt>
                <c:pt idx="694">
                  <c:v>712.18513894933824</c:v>
                </c:pt>
                <c:pt idx="695">
                  <c:v>712.18513894933824</c:v>
                </c:pt>
                <c:pt idx="696">
                  <c:v>712.18513894933824</c:v>
                </c:pt>
                <c:pt idx="697">
                  <c:v>712.18513894933824</c:v>
                </c:pt>
                <c:pt idx="698">
                  <c:v>712.18513894933824</c:v>
                </c:pt>
                <c:pt idx="699">
                  <c:v>712.18513894933824</c:v>
                </c:pt>
                <c:pt idx="700">
                  <c:v>712.18513894933824</c:v>
                </c:pt>
                <c:pt idx="701">
                  <c:v>712.18513894933824</c:v>
                </c:pt>
                <c:pt idx="702">
                  <c:v>712.18513894933824</c:v>
                </c:pt>
                <c:pt idx="703">
                  <c:v>712.18513894933824</c:v>
                </c:pt>
                <c:pt idx="704">
                  <c:v>712.18513894933824</c:v>
                </c:pt>
                <c:pt idx="705">
                  <c:v>712.18513894933824</c:v>
                </c:pt>
                <c:pt idx="706">
                  <c:v>712.18513894933824</c:v>
                </c:pt>
                <c:pt idx="707">
                  <c:v>712.18513894933824</c:v>
                </c:pt>
                <c:pt idx="708">
                  <c:v>712.18513894933824</c:v>
                </c:pt>
                <c:pt idx="709">
                  <c:v>712.18513894933824</c:v>
                </c:pt>
                <c:pt idx="710">
                  <c:v>712.18513894933824</c:v>
                </c:pt>
                <c:pt idx="711">
                  <c:v>712.18513894933824</c:v>
                </c:pt>
                <c:pt idx="712">
                  <c:v>712.18513894933824</c:v>
                </c:pt>
                <c:pt idx="713">
                  <c:v>712.18513894933824</c:v>
                </c:pt>
                <c:pt idx="714">
                  <c:v>712.18513894933824</c:v>
                </c:pt>
                <c:pt idx="715">
                  <c:v>712.18513894933824</c:v>
                </c:pt>
                <c:pt idx="716">
                  <c:v>712.18513894933824</c:v>
                </c:pt>
                <c:pt idx="717">
                  <c:v>712.18513894933824</c:v>
                </c:pt>
                <c:pt idx="718">
                  <c:v>712.18513894933824</c:v>
                </c:pt>
                <c:pt idx="719">
                  <c:v>712.18513894933824</c:v>
                </c:pt>
                <c:pt idx="720">
                  <c:v>712.18513894933824</c:v>
                </c:pt>
                <c:pt idx="721">
                  <c:v>712.18513894933824</c:v>
                </c:pt>
                <c:pt idx="722">
                  <c:v>712.18513894933824</c:v>
                </c:pt>
                <c:pt idx="723">
                  <c:v>712.18513894933824</c:v>
                </c:pt>
                <c:pt idx="724">
                  <c:v>712.18513894933824</c:v>
                </c:pt>
                <c:pt idx="725">
                  <c:v>712.18513894933824</c:v>
                </c:pt>
                <c:pt idx="726">
                  <c:v>712.18513894933824</c:v>
                </c:pt>
                <c:pt idx="727">
                  <c:v>712.18513894933824</c:v>
                </c:pt>
                <c:pt idx="728">
                  <c:v>712.18513894933824</c:v>
                </c:pt>
                <c:pt idx="729">
                  <c:v>712.18513894933824</c:v>
                </c:pt>
                <c:pt idx="730">
                  <c:v>712.18513894933824</c:v>
                </c:pt>
                <c:pt idx="731">
                  <c:v>712.18513894933824</c:v>
                </c:pt>
                <c:pt idx="732">
                  <c:v>712.18513894933824</c:v>
                </c:pt>
                <c:pt idx="733">
                  <c:v>712.18513894933824</c:v>
                </c:pt>
                <c:pt idx="734">
                  <c:v>712.18513894933824</c:v>
                </c:pt>
                <c:pt idx="735">
                  <c:v>712.18513894933824</c:v>
                </c:pt>
                <c:pt idx="736">
                  <c:v>712.18513894933824</c:v>
                </c:pt>
                <c:pt idx="737">
                  <c:v>712.18513894933824</c:v>
                </c:pt>
                <c:pt idx="738">
                  <c:v>712.18513894933824</c:v>
                </c:pt>
                <c:pt idx="739">
                  <c:v>712.18513894933824</c:v>
                </c:pt>
                <c:pt idx="740">
                  <c:v>712.18513894933824</c:v>
                </c:pt>
                <c:pt idx="741">
                  <c:v>712.18513894933824</c:v>
                </c:pt>
                <c:pt idx="742">
                  <c:v>712.18513894933824</c:v>
                </c:pt>
                <c:pt idx="743">
                  <c:v>712.18513894933824</c:v>
                </c:pt>
                <c:pt idx="744">
                  <c:v>712.18513894933824</c:v>
                </c:pt>
                <c:pt idx="745">
                  <c:v>712.18513894933824</c:v>
                </c:pt>
                <c:pt idx="746">
                  <c:v>712.18513894933824</c:v>
                </c:pt>
                <c:pt idx="747">
                  <c:v>712.18513894933824</c:v>
                </c:pt>
                <c:pt idx="748">
                  <c:v>712.18513894933824</c:v>
                </c:pt>
                <c:pt idx="749">
                  <c:v>712.18513894933824</c:v>
                </c:pt>
                <c:pt idx="750">
                  <c:v>712.18513894933824</c:v>
                </c:pt>
                <c:pt idx="751">
                  <c:v>712.18513894933824</c:v>
                </c:pt>
                <c:pt idx="752">
                  <c:v>712.18513894933824</c:v>
                </c:pt>
                <c:pt idx="753">
                  <c:v>712.18513894933824</c:v>
                </c:pt>
                <c:pt idx="754">
                  <c:v>712.18513894933824</c:v>
                </c:pt>
                <c:pt idx="755">
                  <c:v>712.18513894933824</c:v>
                </c:pt>
                <c:pt idx="756">
                  <c:v>712.18513894933824</c:v>
                </c:pt>
                <c:pt idx="757">
                  <c:v>712.18513894933824</c:v>
                </c:pt>
                <c:pt idx="758">
                  <c:v>712.18513894933824</c:v>
                </c:pt>
                <c:pt idx="759">
                  <c:v>712.18513894933824</c:v>
                </c:pt>
                <c:pt idx="760">
                  <c:v>712.18513894933824</c:v>
                </c:pt>
                <c:pt idx="761">
                  <c:v>712.18513894933824</c:v>
                </c:pt>
                <c:pt idx="762">
                  <c:v>712.18513894933824</c:v>
                </c:pt>
                <c:pt idx="763">
                  <c:v>712.18513894933824</c:v>
                </c:pt>
                <c:pt idx="764">
                  <c:v>712.18513894933824</c:v>
                </c:pt>
                <c:pt idx="765">
                  <c:v>712.18513894933824</c:v>
                </c:pt>
                <c:pt idx="766">
                  <c:v>712.18513894933824</c:v>
                </c:pt>
                <c:pt idx="767">
                  <c:v>712.18513894933824</c:v>
                </c:pt>
                <c:pt idx="768">
                  <c:v>712.18513894933824</c:v>
                </c:pt>
                <c:pt idx="769">
                  <c:v>712.18513894933824</c:v>
                </c:pt>
                <c:pt idx="770">
                  <c:v>712.18513894933824</c:v>
                </c:pt>
                <c:pt idx="771">
                  <c:v>712.18513894933824</c:v>
                </c:pt>
                <c:pt idx="772">
                  <c:v>712.18513894933824</c:v>
                </c:pt>
                <c:pt idx="773">
                  <c:v>712.18513894933824</c:v>
                </c:pt>
                <c:pt idx="774">
                  <c:v>712.18513894933824</c:v>
                </c:pt>
                <c:pt idx="775">
                  <c:v>712.18513894933824</c:v>
                </c:pt>
                <c:pt idx="776">
                  <c:v>712.18513894933824</c:v>
                </c:pt>
                <c:pt idx="777">
                  <c:v>712.18513894933824</c:v>
                </c:pt>
                <c:pt idx="778">
                  <c:v>712.18513894933824</c:v>
                </c:pt>
                <c:pt idx="779">
                  <c:v>712.18513894933824</c:v>
                </c:pt>
                <c:pt idx="780">
                  <c:v>712.18513894933824</c:v>
                </c:pt>
                <c:pt idx="781">
                  <c:v>712.18513894933824</c:v>
                </c:pt>
                <c:pt idx="782">
                  <c:v>712.18513894933824</c:v>
                </c:pt>
                <c:pt idx="783">
                  <c:v>712.18513894933824</c:v>
                </c:pt>
                <c:pt idx="784">
                  <c:v>712.18513894933824</c:v>
                </c:pt>
                <c:pt idx="785">
                  <c:v>712.18513894933824</c:v>
                </c:pt>
                <c:pt idx="786">
                  <c:v>712.18513894933824</c:v>
                </c:pt>
                <c:pt idx="787">
                  <c:v>712.18513894933824</c:v>
                </c:pt>
                <c:pt idx="788">
                  <c:v>712.18513894933824</c:v>
                </c:pt>
                <c:pt idx="789">
                  <c:v>712.18513894933824</c:v>
                </c:pt>
                <c:pt idx="790">
                  <c:v>712.18513894933824</c:v>
                </c:pt>
                <c:pt idx="791">
                  <c:v>712.18513894933824</c:v>
                </c:pt>
                <c:pt idx="792">
                  <c:v>712.18513894933824</c:v>
                </c:pt>
                <c:pt idx="793">
                  <c:v>712.18513894933824</c:v>
                </c:pt>
                <c:pt idx="794">
                  <c:v>712.18513894933824</c:v>
                </c:pt>
                <c:pt idx="795">
                  <c:v>712.18513894933824</c:v>
                </c:pt>
                <c:pt idx="796">
                  <c:v>712.18513894933824</c:v>
                </c:pt>
                <c:pt idx="797">
                  <c:v>712.18513894933824</c:v>
                </c:pt>
                <c:pt idx="798">
                  <c:v>712.18513894933824</c:v>
                </c:pt>
                <c:pt idx="799">
                  <c:v>712.18513894933824</c:v>
                </c:pt>
                <c:pt idx="800">
                  <c:v>712.18513894933824</c:v>
                </c:pt>
                <c:pt idx="801">
                  <c:v>712.18513894933824</c:v>
                </c:pt>
                <c:pt idx="802">
                  <c:v>712.18513894933824</c:v>
                </c:pt>
                <c:pt idx="803">
                  <c:v>712.18513894933824</c:v>
                </c:pt>
                <c:pt idx="804">
                  <c:v>712.18513894933824</c:v>
                </c:pt>
                <c:pt idx="805">
                  <c:v>712.18513894933824</c:v>
                </c:pt>
                <c:pt idx="806">
                  <c:v>712.18513894933824</c:v>
                </c:pt>
                <c:pt idx="807">
                  <c:v>712.18513894933824</c:v>
                </c:pt>
                <c:pt idx="808">
                  <c:v>712.18513894933824</c:v>
                </c:pt>
                <c:pt idx="809">
                  <c:v>712.18513894933824</c:v>
                </c:pt>
                <c:pt idx="810">
                  <c:v>712.18513894933824</c:v>
                </c:pt>
                <c:pt idx="811">
                  <c:v>712.18513894933824</c:v>
                </c:pt>
                <c:pt idx="812">
                  <c:v>712.18513894933824</c:v>
                </c:pt>
                <c:pt idx="813">
                  <c:v>712.18513894933824</c:v>
                </c:pt>
                <c:pt idx="814">
                  <c:v>712.18513894933824</c:v>
                </c:pt>
                <c:pt idx="815">
                  <c:v>712.18513894933824</c:v>
                </c:pt>
                <c:pt idx="816">
                  <c:v>712.18513894933824</c:v>
                </c:pt>
                <c:pt idx="817">
                  <c:v>712.18513894933824</c:v>
                </c:pt>
                <c:pt idx="818">
                  <c:v>712.18513894933824</c:v>
                </c:pt>
                <c:pt idx="819">
                  <c:v>712.18513894933824</c:v>
                </c:pt>
                <c:pt idx="820">
                  <c:v>712.18513894933824</c:v>
                </c:pt>
                <c:pt idx="821">
                  <c:v>712.18513894933824</c:v>
                </c:pt>
                <c:pt idx="822">
                  <c:v>712.18513894933824</c:v>
                </c:pt>
                <c:pt idx="823">
                  <c:v>712.18513894933824</c:v>
                </c:pt>
                <c:pt idx="824">
                  <c:v>712.18513894933824</c:v>
                </c:pt>
                <c:pt idx="825">
                  <c:v>712.18513894933824</c:v>
                </c:pt>
                <c:pt idx="826">
                  <c:v>712.18513894933824</c:v>
                </c:pt>
                <c:pt idx="827">
                  <c:v>712.18513894933824</c:v>
                </c:pt>
                <c:pt idx="828">
                  <c:v>712.18513894933824</c:v>
                </c:pt>
                <c:pt idx="829">
                  <c:v>712.18513894933824</c:v>
                </c:pt>
                <c:pt idx="830">
                  <c:v>712.18513894933824</c:v>
                </c:pt>
                <c:pt idx="831">
                  <c:v>712.18513894933824</c:v>
                </c:pt>
                <c:pt idx="832">
                  <c:v>712.18513894933824</c:v>
                </c:pt>
                <c:pt idx="833">
                  <c:v>712.18513894933824</c:v>
                </c:pt>
                <c:pt idx="834">
                  <c:v>712.18513894933824</c:v>
                </c:pt>
                <c:pt idx="835">
                  <c:v>712.18513894933824</c:v>
                </c:pt>
                <c:pt idx="836">
                  <c:v>712.18513894933824</c:v>
                </c:pt>
                <c:pt idx="837">
                  <c:v>712.18513894933824</c:v>
                </c:pt>
                <c:pt idx="838">
                  <c:v>712.18513894933824</c:v>
                </c:pt>
                <c:pt idx="839">
                  <c:v>712.18513894933824</c:v>
                </c:pt>
                <c:pt idx="840">
                  <c:v>712.18513894933824</c:v>
                </c:pt>
                <c:pt idx="841">
                  <c:v>712.18513894933824</c:v>
                </c:pt>
                <c:pt idx="842">
                  <c:v>712.18513894933824</c:v>
                </c:pt>
                <c:pt idx="843">
                  <c:v>712.18513894933824</c:v>
                </c:pt>
                <c:pt idx="844">
                  <c:v>712.18513894933824</c:v>
                </c:pt>
                <c:pt idx="845">
                  <c:v>712.18513894933824</c:v>
                </c:pt>
                <c:pt idx="846">
                  <c:v>712.18513894933824</c:v>
                </c:pt>
                <c:pt idx="847">
                  <c:v>712.18513894933824</c:v>
                </c:pt>
                <c:pt idx="848">
                  <c:v>712.18513894933824</c:v>
                </c:pt>
                <c:pt idx="849">
                  <c:v>712.18513894933824</c:v>
                </c:pt>
                <c:pt idx="850">
                  <c:v>712.18513894933824</c:v>
                </c:pt>
                <c:pt idx="851">
                  <c:v>712.18513894933824</c:v>
                </c:pt>
                <c:pt idx="852">
                  <c:v>712.18513894933824</c:v>
                </c:pt>
                <c:pt idx="853">
                  <c:v>712.18513894933824</c:v>
                </c:pt>
                <c:pt idx="854">
                  <c:v>712.18513894933824</c:v>
                </c:pt>
                <c:pt idx="855">
                  <c:v>712.18513894933824</c:v>
                </c:pt>
                <c:pt idx="856">
                  <c:v>712.18513894933824</c:v>
                </c:pt>
                <c:pt idx="857">
                  <c:v>712.18513894933824</c:v>
                </c:pt>
                <c:pt idx="858">
                  <c:v>712.18513894933824</c:v>
                </c:pt>
                <c:pt idx="859">
                  <c:v>712.18513894933824</c:v>
                </c:pt>
                <c:pt idx="860">
                  <c:v>712.18513894933824</c:v>
                </c:pt>
                <c:pt idx="861">
                  <c:v>712.18513894933824</c:v>
                </c:pt>
                <c:pt idx="862">
                  <c:v>712.18513894933824</c:v>
                </c:pt>
                <c:pt idx="863">
                  <c:v>712.18513894933824</c:v>
                </c:pt>
                <c:pt idx="864">
                  <c:v>712.18513894933824</c:v>
                </c:pt>
                <c:pt idx="865">
                  <c:v>712.18513894933824</c:v>
                </c:pt>
                <c:pt idx="866">
                  <c:v>712.18513894933824</c:v>
                </c:pt>
                <c:pt idx="867">
                  <c:v>712.18513894933824</c:v>
                </c:pt>
                <c:pt idx="868">
                  <c:v>712.18513894933824</c:v>
                </c:pt>
                <c:pt idx="869">
                  <c:v>712.18513894933824</c:v>
                </c:pt>
                <c:pt idx="870">
                  <c:v>712.18513894933824</c:v>
                </c:pt>
                <c:pt idx="871">
                  <c:v>712.18513894933824</c:v>
                </c:pt>
                <c:pt idx="872">
                  <c:v>712.18513894933824</c:v>
                </c:pt>
                <c:pt idx="873">
                  <c:v>712.18513894933824</c:v>
                </c:pt>
                <c:pt idx="874">
                  <c:v>712.18513894933824</c:v>
                </c:pt>
                <c:pt idx="875">
                  <c:v>712.18513894933824</c:v>
                </c:pt>
                <c:pt idx="876">
                  <c:v>712.18513894933824</c:v>
                </c:pt>
                <c:pt idx="877">
                  <c:v>712.18513894933824</c:v>
                </c:pt>
                <c:pt idx="878">
                  <c:v>712.18513894933824</c:v>
                </c:pt>
                <c:pt idx="879">
                  <c:v>712.18513894933824</c:v>
                </c:pt>
                <c:pt idx="880">
                  <c:v>712.18513894933824</c:v>
                </c:pt>
                <c:pt idx="881">
                  <c:v>712.18513894933824</c:v>
                </c:pt>
                <c:pt idx="882">
                  <c:v>712.18513894933824</c:v>
                </c:pt>
                <c:pt idx="883">
                  <c:v>712.18513894933824</c:v>
                </c:pt>
                <c:pt idx="884">
                  <c:v>712.18513894933824</c:v>
                </c:pt>
                <c:pt idx="885">
                  <c:v>712.18513894933824</c:v>
                </c:pt>
                <c:pt idx="886">
                  <c:v>712.18513894933824</c:v>
                </c:pt>
                <c:pt idx="887">
                  <c:v>712.18513894933824</c:v>
                </c:pt>
                <c:pt idx="888">
                  <c:v>712.18513894933824</c:v>
                </c:pt>
                <c:pt idx="889">
                  <c:v>712.18513894933824</c:v>
                </c:pt>
                <c:pt idx="890">
                  <c:v>712.18513894933824</c:v>
                </c:pt>
                <c:pt idx="891">
                  <c:v>712.18513894933824</c:v>
                </c:pt>
                <c:pt idx="892">
                  <c:v>712.18513894933824</c:v>
                </c:pt>
                <c:pt idx="893">
                  <c:v>712.18513894933824</c:v>
                </c:pt>
                <c:pt idx="894">
                  <c:v>712.18513894933824</c:v>
                </c:pt>
                <c:pt idx="895">
                  <c:v>712.18513894933824</c:v>
                </c:pt>
                <c:pt idx="896">
                  <c:v>712.18513894933824</c:v>
                </c:pt>
                <c:pt idx="897">
                  <c:v>712.18513894933824</c:v>
                </c:pt>
                <c:pt idx="898">
                  <c:v>712.18513894933824</c:v>
                </c:pt>
                <c:pt idx="899">
                  <c:v>712.18513894933824</c:v>
                </c:pt>
                <c:pt idx="900">
                  <c:v>712.18513894933824</c:v>
                </c:pt>
                <c:pt idx="901">
                  <c:v>712.18513894933824</c:v>
                </c:pt>
                <c:pt idx="902">
                  <c:v>712.18513894933824</c:v>
                </c:pt>
                <c:pt idx="903">
                  <c:v>712.18513894933824</c:v>
                </c:pt>
                <c:pt idx="904">
                  <c:v>712.18513894933824</c:v>
                </c:pt>
                <c:pt idx="905">
                  <c:v>712.18513894933824</c:v>
                </c:pt>
                <c:pt idx="906">
                  <c:v>712.18513894933824</c:v>
                </c:pt>
                <c:pt idx="907">
                  <c:v>712.18513894933824</c:v>
                </c:pt>
                <c:pt idx="908">
                  <c:v>712.18513894933824</c:v>
                </c:pt>
                <c:pt idx="909">
                  <c:v>712.18513894933824</c:v>
                </c:pt>
                <c:pt idx="910">
                  <c:v>712.18513894933824</c:v>
                </c:pt>
                <c:pt idx="911">
                  <c:v>712.18513894933824</c:v>
                </c:pt>
                <c:pt idx="912">
                  <c:v>712.18513894933824</c:v>
                </c:pt>
                <c:pt idx="913">
                  <c:v>712.18513894933824</c:v>
                </c:pt>
                <c:pt idx="914">
                  <c:v>712.18513894933824</c:v>
                </c:pt>
                <c:pt idx="915">
                  <c:v>712.18513894933824</c:v>
                </c:pt>
                <c:pt idx="916">
                  <c:v>712.18513894933824</c:v>
                </c:pt>
                <c:pt idx="917">
                  <c:v>712.18513894933824</c:v>
                </c:pt>
                <c:pt idx="918">
                  <c:v>712.18513894933824</c:v>
                </c:pt>
                <c:pt idx="919">
                  <c:v>712.18513894933824</c:v>
                </c:pt>
                <c:pt idx="920">
                  <c:v>712.18513894933824</c:v>
                </c:pt>
                <c:pt idx="921">
                  <c:v>712.18513894933824</c:v>
                </c:pt>
                <c:pt idx="922">
                  <c:v>712.18513894933824</c:v>
                </c:pt>
                <c:pt idx="923">
                  <c:v>712.18513894933824</c:v>
                </c:pt>
                <c:pt idx="924">
                  <c:v>712.18513894933824</c:v>
                </c:pt>
                <c:pt idx="925">
                  <c:v>712.18513894933824</c:v>
                </c:pt>
                <c:pt idx="926">
                  <c:v>712.18513894933824</c:v>
                </c:pt>
                <c:pt idx="927">
                  <c:v>712.18513894933824</c:v>
                </c:pt>
                <c:pt idx="928">
                  <c:v>712.18513894933824</c:v>
                </c:pt>
                <c:pt idx="929">
                  <c:v>712.18513894933824</c:v>
                </c:pt>
                <c:pt idx="930">
                  <c:v>712.18513894933824</c:v>
                </c:pt>
                <c:pt idx="931">
                  <c:v>712.18513894933824</c:v>
                </c:pt>
                <c:pt idx="932">
                  <c:v>712.18513894933824</c:v>
                </c:pt>
                <c:pt idx="933">
                  <c:v>712.18513894933824</c:v>
                </c:pt>
                <c:pt idx="934">
                  <c:v>712.18513894933824</c:v>
                </c:pt>
                <c:pt idx="935">
                  <c:v>712.18513894933824</c:v>
                </c:pt>
                <c:pt idx="936">
                  <c:v>712.18513894933824</c:v>
                </c:pt>
                <c:pt idx="937">
                  <c:v>712.18513894933824</c:v>
                </c:pt>
                <c:pt idx="938">
                  <c:v>712.18513894933824</c:v>
                </c:pt>
                <c:pt idx="939">
                  <c:v>712.18513894933824</c:v>
                </c:pt>
                <c:pt idx="940">
                  <c:v>712.18513894933824</c:v>
                </c:pt>
                <c:pt idx="941">
                  <c:v>712.18513894933824</c:v>
                </c:pt>
                <c:pt idx="942">
                  <c:v>712.18513894933824</c:v>
                </c:pt>
                <c:pt idx="943">
                  <c:v>712.18513894933824</c:v>
                </c:pt>
                <c:pt idx="944">
                  <c:v>712.18513894933824</c:v>
                </c:pt>
                <c:pt idx="945">
                  <c:v>712.18513894933824</c:v>
                </c:pt>
                <c:pt idx="946">
                  <c:v>712.18513894933824</c:v>
                </c:pt>
                <c:pt idx="947">
                  <c:v>712.18513894933824</c:v>
                </c:pt>
                <c:pt idx="948">
                  <c:v>712.18513894933824</c:v>
                </c:pt>
                <c:pt idx="949">
                  <c:v>712.18513894933824</c:v>
                </c:pt>
                <c:pt idx="950">
                  <c:v>712.18513894933824</c:v>
                </c:pt>
                <c:pt idx="951">
                  <c:v>712.18513894933824</c:v>
                </c:pt>
                <c:pt idx="952">
                  <c:v>712.18513894933824</c:v>
                </c:pt>
                <c:pt idx="953">
                  <c:v>712.18513894933824</c:v>
                </c:pt>
                <c:pt idx="954">
                  <c:v>712.18513894933824</c:v>
                </c:pt>
                <c:pt idx="955">
                  <c:v>712.18513894933824</c:v>
                </c:pt>
                <c:pt idx="956">
                  <c:v>712.18513894933824</c:v>
                </c:pt>
                <c:pt idx="957">
                  <c:v>712.18513894933824</c:v>
                </c:pt>
                <c:pt idx="958">
                  <c:v>712.18513894933824</c:v>
                </c:pt>
                <c:pt idx="959">
                  <c:v>712.18513894933824</c:v>
                </c:pt>
                <c:pt idx="960">
                  <c:v>712.18513894933824</c:v>
                </c:pt>
                <c:pt idx="961">
                  <c:v>712.18513894933824</c:v>
                </c:pt>
                <c:pt idx="962">
                  <c:v>712.18513894933824</c:v>
                </c:pt>
                <c:pt idx="963">
                  <c:v>712.18513894933824</c:v>
                </c:pt>
                <c:pt idx="964">
                  <c:v>712.18513894933824</c:v>
                </c:pt>
                <c:pt idx="965">
                  <c:v>712.18513894933824</c:v>
                </c:pt>
                <c:pt idx="966">
                  <c:v>712.18513894933824</c:v>
                </c:pt>
                <c:pt idx="967">
                  <c:v>712.18513894933824</c:v>
                </c:pt>
                <c:pt idx="968">
                  <c:v>712.18513894933824</c:v>
                </c:pt>
                <c:pt idx="969">
                  <c:v>712.18513894933824</c:v>
                </c:pt>
                <c:pt idx="970">
                  <c:v>712.18513894933824</c:v>
                </c:pt>
                <c:pt idx="971">
                  <c:v>712.18513894933824</c:v>
                </c:pt>
                <c:pt idx="972">
                  <c:v>712.18513894933824</c:v>
                </c:pt>
                <c:pt idx="973">
                  <c:v>712.18513894933824</c:v>
                </c:pt>
                <c:pt idx="974">
                  <c:v>712.18513894933824</c:v>
                </c:pt>
                <c:pt idx="975">
                  <c:v>712.18513894933824</c:v>
                </c:pt>
                <c:pt idx="976">
                  <c:v>712.18513894933824</c:v>
                </c:pt>
                <c:pt idx="977">
                  <c:v>712.18513894933824</c:v>
                </c:pt>
                <c:pt idx="978">
                  <c:v>712.18513894933824</c:v>
                </c:pt>
                <c:pt idx="979">
                  <c:v>712.18513894933824</c:v>
                </c:pt>
                <c:pt idx="980">
                  <c:v>712.18513894933824</c:v>
                </c:pt>
                <c:pt idx="981">
                  <c:v>712.18513894933824</c:v>
                </c:pt>
                <c:pt idx="982">
                  <c:v>712.18513894933824</c:v>
                </c:pt>
                <c:pt idx="983">
                  <c:v>712.18513894933824</c:v>
                </c:pt>
                <c:pt idx="984">
                  <c:v>712.18513894933824</c:v>
                </c:pt>
                <c:pt idx="985">
                  <c:v>712.18513894933824</c:v>
                </c:pt>
                <c:pt idx="986">
                  <c:v>712.18513894933824</c:v>
                </c:pt>
                <c:pt idx="987">
                  <c:v>712.18513894933824</c:v>
                </c:pt>
                <c:pt idx="988">
                  <c:v>712.18513894933824</c:v>
                </c:pt>
                <c:pt idx="989">
                  <c:v>712.18513894933824</c:v>
                </c:pt>
                <c:pt idx="990">
                  <c:v>712.18513894933824</c:v>
                </c:pt>
                <c:pt idx="991">
                  <c:v>712.18513894933824</c:v>
                </c:pt>
                <c:pt idx="992">
                  <c:v>712.18513894933824</c:v>
                </c:pt>
                <c:pt idx="993">
                  <c:v>712.18513894933824</c:v>
                </c:pt>
                <c:pt idx="994">
                  <c:v>712.18513894933824</c:v>
                </c:pt>
                <c:pt idx="995">
                  <c:v>712.18513894933824</c:v>
                </c:pt>
                <c:pt idx="996">
                  <c:v>712.18513894933824</c:v>
                </c:pt>
                <c:pt idx="997">
                  <c:v>712.18513894933824</c:v>
                </c:pt>
                <c:pt idx="998">
                  <c:v>712.18513894933824</c:v>
                </c:pt>
                <c:pt idx="999">
                  <c:v>712.18513894933824</c:v>
                </c:pt>
                <c:pt idx="1000">
                  <c:v>712.18513894933824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2-4CA2-BA56-E0E46E48A26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93.111439709812089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928.04982692157216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02-4CA2-BA56-E0E46E48A26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604.62244044326542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930.06597831561305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02-4CA2-BA56-E0E46E48A26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{C91BA984-0F55-4CDA-AE6C-F3499530DB1F}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389.49704343111966</c:v>
                </c:pt>
                <c:pt idx="1">
                  <c:v>412.49704343111966</c:v>
                </c:pt>
                <c:pt idx="2">
                  <c:v>412.49704343111966</c:v>
                </c:pt>
                <c:pt idx="3">
                  <c:v>389.49704343111966</c:v>
                </c:pt>
                <c:pt idx="4">
                  <c:v>412.49704343111966</c:v>
                </c:pt>
                <c:pt idx="5">
                  <c:v>412.49704343111966</c:v>
                </c:pt>
                <c:pt idx="6">
                  <c:v>397.49704343111966</c:v>
                </c:pt>
                <c:pt idx="7">
                  <c:v>397.49704343111966</c:v>
                </c:pt>
                <c:pt idx="8">
                  <c:v>412.49704343111966</c:v>
                </c:pt>
                <c:pt idx="9">
                  <c:v>397.49704343111966</c:v>
                </c:pt>
                <c:pt idx="10">
                  <c:v>397.09704343111969</c:v>
                </c:pt>
                <c:pt idx="11">
                  <c:v>396.29704343111968</c:v>
                </c:pt>
                <c:pt idx="12">
                  <c:v>395.49704343111966</c:v>
                </c:pt>
                <c:pt idx="13">
                  <c:v>394.49704343111966</c:v>
                </c:pt>
                <c:pt idx="14">
                  <c:v>393.29704343111968</c:v>
                </c:pt>
                <c:pt idx="15">
                  <c:v>389.49704343111966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02-4CA2-BA56-E0E46E48A26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389.49704343111966</c:v>
                </c:pt>
                <c:pt idx="1">
                  <c:v>366.49704343111966</c:v>
                </c:pt>
                <c:pt idx="2">
                  <c:v>366.49704343111966</c:v>
                </c:pt>
                <c:pt idx="3">
                  <c:v>389.49704343111966</c:v>
                </c:pt>
                <c:pt idx="4">
                  <c:v>366.49704343111966</c:v>
                </c:pt>
                <c:pt idx="5">
                  <c:v>366.49704343111966</c:v>
                </c:pt>
                <c:pt idx="6">
                  <c:v>381.49704343111966</c:v>
                </c:pt>
                <c:pt idx="7">
                  <c:v>381.49704343111966</c:v>
                </c:pt>
                <c:pt idx="8">
                  <c:v>366.49704343111966</c:v>
                </c:pt>
                <c:pt idx="9">
                  <c:v>381.49704343111966</c:v>
                </c:pt>
                <c:pt idx="10">
                  <c:v>381.89704343111964</c:v>
                </c:pt>
                <c:pt idx="11">
                  <c:v>382.69704343111965</c:v>
                </c:pt>
                <c:pt idx="12">
                  <c:v>383.49704343111966</c:v>
                </c:pt>
                <c:pt idx="13">
                  <c:v>384.49704343111966</c:v>
                </c:pt>
                <c:pt idx="14">
                  <c:v>385.69704343111965</c:v>
                </c:pt>
                <c:pt idx="15">
                  <c:v>389.49704343111966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02-4CA2-BA56-E0E46E48A26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{68FFF4F3-2C22-4DDE-91E9-E7E9BB64C02E}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389.49704343111966</c:v>
                </c:pt>
                <c:pt idx="1">
                  <c:v>389.49704343111966</c:v>
                </c:pt>
                <c:pt idx="2">
                  <c:v>399.49704343111966</c:v>
                </c:pt>
                <c:pt idx="3">
                  <c:v>389.49704343111966</c:v>
                </c:pt>
                <c:pt idx="4">
                  <c:v>399.49704343111966</c:v>
                </c:pt>
                <c:pt idx="5">
                  <c:v>402.49704343111966</c:v>
                </c:pt>
                <c:pt idx="6">
                  <c:v>406.49704343111966</c:v>
                </c:pt>
                <c:pt idx="7">
                  <c:v>409.49704343111966</c:v>
                </c:pt>
                <c:pt idx="8">
                  <c:v>414.49704343111966</c:v>
                </c:pt>
                <c:pt idx="9">
                  <c:v>419.49704343111966</c:v>
                </c:pt>
                <c:pt idx="10">
                  <c:v>425.49704343111966</c:v>
                </c:pt>
                <c:pt idx="11">
                  <c:v>437.49704343111966</c:v>
                </c:pt>
                <c:pt idx="12">
                  <c:v>451.49704343111966</c:v>
                </c:pt>
                <c:pt idx="13">
                  <c:v>426.49704343111966</c:v>
                </c:pt>
                <c:pt idx="14">
                  <c:v>419.49704343111966</c:v>
                </c:pt>
                <c:pt idx="15">
                  <c:v>404.49704343111966</c:v>
                </c:pt>
                <c:pt idx="16">
                  <c:v>389.49704343111966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02-4CA2-BA56-E0E46E48A26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389.49704343111966</c:v>
                </c:pt>
                <c:pt idx="1">
                  <c:v>389.49704343111966</c:v>
                </c:pt>
                <c:pt idx="2">
                  <c:v>379.49704343111966</c:v>
                </c:pt>
                <c:pt idx="3">
                  <c:v>389.49704343111966</c:v>
                </c:pt>
                <c:pt idx="4">
                  <c:v>379.49704343111966</c:v>
                </c:pt>
                <c:pt idx="5">
                  <c:v>376.49704343111966</c:v>
                </c:pt>
                <c:pt idx="6">
                  <c:v>372.49704343111966</c:v>
                </c:pt>
                <c:pt idx="7">
                  <c:v>369.49704343111966</c:v>
                </c:pt>
                <c:pt idx="8">
                  <c:v>364.49704343111966</c:v>
                </c:pt>
                <c:pt idx="9">
                  <c:v>359.49704343111966</c:v>
                </c:pt>
                <c:pt idx="10">
                  <c:v>353.49704343111966</c:v>
                </c:pt>
                <c:pt idx="11">
                  <c:v>341.49704343111966</c:v>
                </c:pt>
                <c:pt idx="12">
                  <c:v>327.49704343111966</c:v>
                </c:pt>
                <c:pt idx="13">
                  <c:v>352.49704343111966</c:v>
                </c:pt>
                <c:pt idx="14">
                  <c:v>359.49704343111966</c:v>
                </c:pt>
                <c:pt idx="15">
                  <c:v>374.49704343111966</c:v>
                </c:pt>
                <c:pt idx="16">
                  <c:v>389.49704343111966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02-4CA2-BA56-E0E46E48A26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389.49704343111966</c:v>
                </c:pt>
                <c:pt idx="1">
                  <c:v>406.49704343111966</c:v>
                </c:pt>
                <c:pt idx="2">
                  <c:v>400.49704343111966</c:v>
                </c:pt>
                <c:pt idx="3">
                  <c:v>389.49704343111966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02-4CA2-BA56-E0E46E48A26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389.49704343111966</c:v>
                </c:pt>
                <c:pt idx="1">
                  <c:v>372.49704343111966</c:v>
                </c:pt>
                <c:pt idx="2">
                  <c:v>378.49704343111966</c:v>
                </c:pt>
                <c:pt idx="3">
                  <c:v>389.49704343111966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02-4CA2-BA56-E0E46E48A26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{D54FC05E-BBBF-4E89-B8C1-8CDDCD85551B}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372.44575883924836</c:v>
                </c:pt>
                <c:pt idx="1">
                  <c:v>372.44575883924836</c:v>
                </c:pt>
                <c:pt idx="2">
                  <c:v>372.44575883924836</c:v>
                </c:pt>
                <c:pt idx="3">
                  <c:v>418.84825018532695</c:v>
                </c:pt>
                <c:pt idx="4">
                  <c:v>372.44575883924836</c:v>
                </c:pt>
                <c:pt idx="5">
                  <c:v>326.04326749316976</c:v>
                </c:pt>
                <c:pt idx="6">
                  <c:v>372.44575883924836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1856.0996538431443</c:v>
                </c:pt>
                <c:pt idx="1">
                  <c:v>928.04982692157216</c:v>
                </c:pt>
                <c:pt idx="2">
                  <c:v>0</c:v>
                </c:pt>
                <c:pt idx="3">
                  <c:v>92.804982692157211</c:v>
                </c:pt>
                <c:pt idx="4">
                  <c:v>0</c:v>
                </c:pt>
                <c:pt idx="5">
                  <c:v>92.804982692157211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02-4CA2-BA56-E0E46E48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1024"/>
        <c:axId val="149054208"/>
      </c:scatterChart>
      <c:valAx>
        <c:axId val="148241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86"/>
              <c:y val="0.84829693458129063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054208"/>
        <c:crosses val="autoZero"/>
        <c:crossBetween val="midCat"/>
      </c:valAx>
      <c:valAx>
        <c:axId val="149054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413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24102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746430001334583E-2"/>
          <c:y val="4.8186995493487844E-2"/>
          <c:w val="0.89333624132890843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1860.1319566312261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67-B7A1-067915120221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6.9999999999999911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7.9999999999999698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8.9999999999999556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9.999999999999952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10.999999999999948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11.999999999999945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12.999999999999941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13.999999999999938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14.999999999999934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15.999999999999931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16.999999999999943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17.999999999999957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18.999999999999972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19.999999999999986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21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22.000000000000014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23.000000000000028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24.000000000000043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25.000000000000057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26.000000000000071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27.000000000000085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28.000000000000099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29.000000000000114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30.000000000000128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31.000000000000142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32.000000000000156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33.000000000000171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34.000000000000185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35.000000000000199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36.000000000000213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37.000000000000227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38.000000000000242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39.000000000000256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40.00000000000027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41.000000000000284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1856.0996538431443</c:v>
                </c:pt>
                <c:pt idx="302">
                  <c:v>1856.9418870777899</c:v>
                </c:pt>
                <c:pt idx="303">
                  <c:v>1857.6853833193331</c:v>
                </c:pt>
                <c:pt idx="304">
                  <c:v>1858.3302279115285</c:v>
                </c:pt>
                <c:pt idx="305">
                  <c:v>1858.876502323511</c:v>
                </c:pt>
                <c:pt idx="306">
                  <c:v>1859.3242845648954</c:v>
                </c:pt>
                <c:pt idx="307">
                  <c:v>1859.6736496309943</c:v>
                </c:pt>
                <c:pt idx="308">
                  <c:v>1859.9246699762939</c:v>
                </c:pt>
                <c:pt idx="309">
                  <c:v>1860.0774160131207</c:v>
                </c:pt>
                <c:pt idx="310">
                  <c:v>1860.1319566312261</c:v>
                </c:pt>
                <c:pt idx="311">
                  <c:v>1860.0883597329039</c:v>
                </c:pt>
                <c:pt idx="312">
                  <c:v>1859.9466927773403</c:v>
                </c:pt>
                <c:pt idx="313">
                  <c:v>1859.7070233272875</c:v>
                </c:pt>
                <c:pt idx="314">
                  <c:v>1859.3694195908968</c:v>
                </c:pt>
                <c:pt idx="315">
                  <c:v>1858.9339509517044</c:v>
                </c:pt>
                <c:pt idx="316">
                  <c:v>1858.4006884802816</c:v>
                </c:pt>
                <c:pt idx="317">
                  <c:v>1857.7697054219118</c:v>
                </c:pt>
                <c:pt idx="318">
                  <c:v>1857.0410776557305</c:v>
                </c:pt>
                <c:pt idx="319">
                  <c:v>1856.2148841219635</c:v>
                </c:pt>
                <c:pt idx="320">
                  <c:v>1855.2912072151128</c:v>
                </c:pt>
                <c:pt idx="321">
                  <c:v>1854.2701331420892</c:v>
                </c:pt>
                <c:pt idx="322">
                  <c:v>1853.1517522452896</c:v>
                </c:pt>
                <c:pt idx="323">
                  <c:v>1851.9361592914554</c:v>
                </c:pt>
                <c:pt idx="324">
                  <c:v>1850.6234537277785</c:v>
                </c:pt>
                <c:pt idx="325">
                  <c:v>1849.2137399071767</c:v>
                </c:pt>
                <c:pt idx="326">
                  <c:v>1847.7071272849394</c:v>
                </c:pt>
                <c:pt idx="327">
                  <c:v>1846.1037305890895</c:v>
                </c:pt>
                <c:pt idx="328">
                  <c:v>1844.4036699668316</c:v>
                </c:pt>
                <c:pt idx="329">
                  <c:v>1842.6070711094069</c:v>
                </c:pt>
                <c:pt idx="330">
                  <c:v>1840.7140653575625</c:v>
                </c:pt>
                <c:pt idx="331">
                  <c:v>1838.724789789688</c:v>
                </c:pt>
                <c:pt idx="332">
                  <c:v>1836.6393872945109</c:v>
                </c:pt>
                <c:pt idx="333">
                  <c:v>1834.4580066300575</c:v>
                </c:pt>
                <c:pt idx="334">
                  <c:v>1832.1808024704153</c:v>
                </c:pt>
                <c:pt idx="335">
                  <c:v>1829.8079354416609</c:v>
                </c:pt>
                <c:pt idx="336">
                  <c:v>1827.339572148162</c:v>
                </c:pt>
                <c:pt idx="337">
                  <c:v>1824.7758851903159</c:v>
                </c:pt>
                <c:pt idx="338">
                  <c:v>1822.1170531746593</c:v>
                </c:pt>
                <c:pt idx="339">
                  <c:v>1819.3632607171646</c:v>
                </c:pt>
                <c:pt idx="340">
                  <c:v>1816.5146984404362</c:v>
                </c:pt>
                <c:pt idx="341">
                  <c:v>1813.5715629654303</c:v>
                </c:pt>
                <c:pt idx="342">
                  <c:v>1810.5340568982417</c:v>
                </c:pt>
                <c:pt idx="343">
                  <c:v>1807.4023888124318</c:v>
                </c:pt>
                <c:pt idx="344">
                  <c:v>1804.1767732273115</c:v>
                </c:pt>
                <c:pt idx="345">
                  <c:v>1800.8574305825434</c:v>
                </c:pt>
                <c:pt idx="346">
                  <c:v>1797.4445872093788</c:v>
                </c:pt>
                <c:pt idx="347">
                  <c:v>1793.9384752988101</c:v>
                </c:pt>
                <c:pt idx="348">
                  <c:v>1790.3393328668824</c:v>
                </c:pt>
                <c:pt idx="349">
                  <c:v>1786.6474037173818</c:v>
                </c:pt>
                <c:pt idx="350">
                  <c:v>1782.8629374020923</c:v>
                </c:pt>
                <c:pt idx="351">
                  <c:v>1778.9861891787893</c:v>
                </c:pt>
                <c:pt idx="352">
                  <c:v>1775.0174199671246</c:v>
                </c:pt>
                <c:pt idx="353">
                  <c:v>1770.9568963025347</c:v>
                </c:pt>
                <c:pt idx="354">
                  <c:v>1766.804890288297</c:v>
                </c:pt>
                <c:pt idx="355">
                  <c:v>1762.5616795458432</c:v>
                </c:pt>
                <c:pt idx="356">
                  <c:v>1758.2275471634282</c:v>
                </c:pt>
                <c:pt idx="357">
                  <c:v>1753.8027816432457</c:v>
                </c:pt>
                <c:pt idx="358">
                  <c:v>1749.2876768470735</c:v>
                </c:pt>
                <c:pt idx="359">
                  <c:v>1744.6825319405252</c:v>
                </c:pt>
                <c:pt idx="360">
                  <c:v>1739.9876513359757</c:v>
                </c:pt>
                <c:pt idx="361">
                  <c:v>1735.2033446342293</c:v>
                </c:pt>
                <c:pt idx="362">
                  <c:v>1730.3299265649887</c:v>
                </c:pt>
                <c:pt idx="363">
                  <c:v>1725.3677169261816</c:v>
                </c:pt>
                <c:pt idx="364">
                  <c:v>1720.3170405222002</c:v>
                </c:pt>
                <c:pt idx="365">
                  <c:v>1715.1782271011011</c:v>
                </c:pt>
                <c:pt idx="366">
                  <c:v>1709.9516112908175</c:v>
                </c:pt>
                <c:pt idx="367">
                  <c:v>1704.6375325344245</c:v>
                </c:pt>
                <c:pt idx="368">
                  <c:v>1699.236335024505</c:v>
                </c:pt>
                <c:pt idx="369">
                  <c:v>1693.7483676366564</c:v>
                </c:pt>
                <c:pt idx="370">
                  <c:v>1688.1739838621781</c:v>
                </c:pt>
                <c:pt idx="371">
                  <c:v>1682.5135417399792</c:v>
                </c:pt>
                <c:pt idx="372">
                  <c:v>1676.7674037877441</c:v>
                </c:pt>
                <c:pt idx="373">
                  <c:v>1670.9359369323925</c:v>
                </c:pt>
                <c:pt idx="374">
                  <c:v>1665.0195124398681</c:v>
                </c:pt>
                <c:pt idx="375">
                  <c:v>1659.0185058442942</c:v>
                </c:pt>
                <c:pt idx="376">
                  <c:v>1652.9332968765252</c:v>
                </c:pt>
                <c:pt idx="377">
                  <c:v>1646.7642693921312</c:v>
                </c:pt>
                <c:pt idx="378">
                  <c:v>1640.5118112988462</c:v>
                </c:pt>
                <c:pt idx="379">
                  <c:v>1634.1763144835131</c:v>
                </c:pt>
                <c:pt idx="380">
                  <c:v>1627.7581747385559</c:v>
                </c:pt>
                <c:pt idx="381">
                  <c:v>1621.2577916880093</c:v>
                </c:pt>
                <c:pt idx="382">
                  <c:v>1614.6755687131385</c:v>
                </c:pt>
                <c:pt idx="383">
                  <c:v>1608.0119128776773</c:v>
                </c:pt>
                <c:pt idx="384">
                  <c:v>1601.267234852714</c:v>
                </c:pt>
                <c:pt idx="385">
                  <c:v>1594.441948841255</c:v>
                </c:pt>
                <c:pt idx="386">
                  <c:v>1587.5364725024954</c:v>
                </c:pt>
                <c:pt idx="387">
                  <c:v>1580.5512268758225</c:v>
                </c:pt>
                <c:pt idx="388">
                  <c:v>1573.486636304584</c:v>
                </c:pt>
                <c:pt idx="389">
                  <c:v>1566.343128359644</c:v>
                </c:pt>
                <c:pt idx="390">
                  <c:v>1559.1211337627597</c:v>
                </c:pt>
                <c:pt idx="391">
                  <c:v>1551.8210863098002</c:v>
                </c:pt>
                <c:pt idx="392">
                  <c:v>1544.443422793838</c:v>
                </c:pt>
                <c:pt idx="393">
                  <c:v>1536.9885829281377</c:v>
                </c:pt>
                <c:pt idx="394">
                  <c:v>1529.4570092690697</c:v>
                </c:pt>
                <c:pt idx="395">
                  <c:v>1521.8491471389714</c:v>
                </c:pt>
                <c:pt idx="396">
                  <c:v>1514.1654445489853</c:v>
                </c:pt>
                <c:pt idx="397">
                  <c:v>1506.4063521218961</c:v>
                </c:pt>
                <c:pt idx="398">
                  <c:v>1498.5723230149927</c:v>
                </c:pt>
                <c:pt idx="399">
                  <c:v>1490.6638128429795</c:v>
                </c:pt>
                <c:pt idx="400">
                  <c:v>1482.6812796009613</c:v>
                </c:pt>
                <c:pt idx="401">
                  <c:v>1474.6251835875237</c:v>
                </c:pt>
                <c:pt idx="402">
                  <c:v>1466.4959873279361</c:v>
                </c:pt>
                <c:pt idx="403">
                  <c:v>1458.2941554974966</c:v>
                </c:pt>
                <c:pt idx="404">
                  <c:v>1450.0201548450436</c:v>
                </c:pt>
                <c:pt idx="405">
                  <c:v>1441.6744541166561</c:v>
                </c:pt>
                <c:pt idx="406">
                  <c:v>1433.257523979564</c:v>
                </c:pt>
                <c:pt idx="407">
                  <c:v>1424.7698369462914</c:v>
                </c:pt>
                <c:pt idx="408">
                  <c:v>1416.2118672990528</c:v>
                </c:pt>
                <c:pt idx="409">
                  <c:v>1407.5840910144236</c:v>
                </c:pt>
                <c:pt idx="410">
                  <c:v>1398.8869856883068</c:v>
                </c:pt>
                <c:pt idx="411">
                  <c:v>1390.121030461213</c:v>
                </c:pt>
                <c:pt idx="412">
                  <c:v>1381.2867059438765</c:v>
                </c:pt>
                <c:pt idx="413">
                  <c:v>1372.3844941432262</c:v>
                </c:pt>
                <c:pt idx="414">
                  <c:v>1363.4148783887283</c:v>
                </c:pt>
                <c:pt idx="415">
                  <c:v>1354.3783432591226</c:v>
                </c:pt>
                <c:pt idx="416">
                  <c:v>1345.2753745095681</c:v>
                </c:pt>
                <c:pt idx="417">
                  <c:v>1336.1064589992166</c:v>
                </c:pt>
                <c:pt idx="418">
                  <c:v>1326.872084619233</c:v>
                </c:pt>
                <c:pt idx="419">
                  <c:v>1317.5727402212767</c:v>
                </c:pt>
                <c:pt idx="420">
                  <c:v>1308.2089155464632</c:v>
                </c:pt>
                <c:pt idx="421">
                  <c:v>1298.7811011548206</c:v>
                </c:pt>
                <c:pt idx="422">
                  <c:v>1289.2897883552575</c:v>
                </c:pt>
                <c:pt idx="423">
                  <c:v>1279.7354691360581</c:v>
                </c:pt>
                <c:pt idx="424">
                  <c:v>1270.1186360959177</c:v>
                </c:pt>
                <c:pt idx="425">
                  <c:v>1260.4397823755357</c:v>
                </c:pt>
                <c:pt idx="426">
                  <c:v>1250.6994015897785</c:v>
                </c:pt>
                <c:pt idx="427">
                  <c:v>1240.8979877604258</c:v>
                </c:pt>
                <c:pt idx="428">
                  <c:v>1231.0360352495161</c:v>
                </c:pt>
                <c:pt idx="429">
                  <c:v>1221.1140386933005</c:v>
                </c:pt>
                <c:pt idx="430">
                  <c:v>1211.1324929368211</c:v>
                </c:pt>
                <c:pt idx="431">
                  <c:v>1201.0918929691229</c:v>
                </c:pt>
                <c:pt idx="432">
                  <c:v>1190.9927338591137</c:v>
                </c:pt>
                <c:pt idx="433">
                  <c:v>1180.8355106920806</c:v>
                </c:pt>
                <c:pt idx="434">
                  <c:v>1170.6207185068754</c:v>
                </c:pt>
                <c:pt idx="435">
                  <c:v>1160.3488522337798</c:v>
                </c:pt>
                <c:pt idx="436">
                  <c:v>1150.0204066330589</c:v>
                </c:pt>
                <c:pt idx="437">
                  <c:v>1139.6358762342136</c:v>
                </c:pt>
                <c:pt idx="438">
                  <c:v>1129.19575527594</c:v>
                </c:pt>
                <c:pt idx="439">
                  <c:v>1118.7005376468071</c:v>
                </c:pt>
                <c:pt idx="440">
                  <c:v>1108.1507168266571</c:v>
                </c:pt>
                <c:pt idx="441">
                  <c:v>1097.5467858287409</c:v>
                </c:pt>
                <c:pt idx="442">
                  <c:v>1086.8892371425914</c:v>
                </c:pt>
                <c:pt idx="443">
                  <c:v>1076.1785626776464</c:v>
                </c:pt>
                <c:pt idx="444">
                  <c:v>1065.4152537076252</c:v>
                </c:pt>
                <c:pt idx="445">
                  <c:v>1054.5998008156648</c:v>
                </c:pt>
                <c:pt idx="446">
                  <c:v>1043.7326938402239</c:v>
                </c:pt>
                <c:pt idx="447">
                  <c:v>1032.8144218217576</c:v>
                </c:pt>
                <c:pt idx="448">
                  <c:v>1021.8454729501716</c:v>
                </c:pt>
                <c:pt idx="449">
                  <c:v>1010.8263345130558</c:v>
                </c:pt>
                <c:pt idx="450">
                  <c:v>999.75749284470635</c:v>
                </c:pt>
                <c:pt idx="451">
                  <c:v>988.63943327593756</c:v>
                </c:pt>
                <c:pt idx="452">
                  <c:v>977.47264008468778</c:v>
                </c:pt>
                <c:pt idx="453">
                  <c:v>966.25759644742368</c:v>
                </c:pt>
                <c:pt idx="454">
                  <c:v>954.99478439134407</c:v>
                </c:pt>
                <c:pt idx="455">
                  <c:v>943.68468474738756</c:v>
                </c:pt>
                <c:pt idx="456">
                  <c:v>932.32777710404548</c:v>
                </c:pt>
                <c:pt idx="457">
                  <c:v>920.9245397619818</c:v>
                </c:pt>
                <c:pt idx="458">
                  <c:v>909.47544968946227</c:v>
                </c:pt>
                <c:pt idx="459">
                  <c:v>897.98098247859355</c:v>
                </c:pt>
                <c:pt idx="460">
                  <c:v>886.4416123023733</c:v>
                </c:pt>
                <c:pt idx="461">
                  <c:v>874.85781187255202</c:v>
                </c:pt>
                <c:pt idx="462">
                  <c:v>863.23005239830673</c:v>
                </c:pt>
                <c:pt idx="463">
                  <c:v>851.55880354572628</c:v>
                </c:pt>
                <c:pt idx="464">
                  <c:v>839.84453339810875</c:v>
                </c:pt>
                <c:pt idx="465">
                  <c:v>828.08770841706894</c:v>
                </c:pt>
                <c:pt idx="466">
                  <c:v>816.2887934044561</c:v>
                </c:pt>
                <c:pt idx="467">
                  <c:v>804.44825146508026</c:v>
                </c:pt>
                <c:pt idx="468">
                  <c:v>792.56654397024568</c:v>
                </c:pt>
                <c:pt idx="469">
                  <c:v>780.64413052208988</c:v>
                </c:pt>
                <c:pt idx="470">
                  <c:v>768.68146891872516</c:v>
                </c:pt>
                <c:pt idx="471">
                  <c:v>756.67901512018193</c:v>
                </c:pt>
                <c:pt idx="472">
                  <c:v>744.63722321514979</c:v>
                </c:pt>
                <c:pt idx="473">
                  <c:v>732.556545388514</c:v>
                </c:pt>
                <c:pt idx="474">
                  <c:v>720.4374318896846</c:v>
                </c:pt>
                <c:pt idx="475">
                  <c:v>708.28033100171456</c:v>
                </c:pt>
                <c:pt idx="476">
                  <c:v>696.08568901120293</c:v>
                </c:pt>
                <c:pt idx="477">
                  <c:v>683.85395017897997</c:v>
                </c:pt>
                <c:pt idx="478">
                  <c:v>671.58555671156978</c:v>
                </c:pt>
                <c:pt idx="479">
                  <c:v>659.28094873342627</c:v>
                </c:pt>
                <c:pt idx="480">
                  <c:v>646.94056425993801</c:v>
                </c:pt>
                <c:pt idx="481">
                  <c:v>634.56483917119704</c:v>
                </c:pt>
                <c:pt idx="482">
                  <c:v>622.15420718652763</c:v>
                </c:pt>
                <c:pt idx="483">
                  <c:v>609.70909983976878</c:v>
                </c:pt>
                <c:pt idx="484">
                  <c:v>597.22994645530594</c:v>
                </c:pt>
                <c:pt idx="485">
                  <c:v>584.71717412484657</c:v>
                </c:pt>
                <c:pt idx="486">
                  <c:v>572.17120768493362</c:v>
                </c:pt>
                <c:pt idx="487">
                  <c:v>559.59246969519131</c:v>
                </c:pt>
                <c:pt idx="488">
                  <c:v>546.98138041729726</c:v>
                </c:pt>
                <c:pt idx="489">
                  <c:v>534.33835779467495</c:v>
                </c:pt>
                <c:pt idx="490">
                  <c:v>521.66381743290049</c:v>
                </c:pt>
                <c:pt idx="491">
                  <c:v>508.95817258081655</c:v>
                </c:pt>
                <c:pt idx="492">
                  <c:v>496.22183411234835</c:v>
                </c:pt>
                <c:pt idx="493">
                  <c:v>483.45521050901328</c:v>
                </c:pt>
                <c:pt idx="494">
                  <c:v>470.65870784311909</c:v>
                </c:pt>
                <c:pt idx="495">
                  <c:v>457.83272976164261</c:v>
                </c:pt>
                <c:pt idx="496">
                  <c:v>444.97767747078251</c:v>
                </c:pt>
                <c:pt idx="497">
                  <c:v>432.09394972117883</c:v>
                </c:pt>
                <c:pt idx="498">
                  <c:v>419.18194279379236</c:v>
                </c:pt>
                <c:pt idx="499">
                  <c:v>406.24205048643597</c:v>
                </c:pt>
                <c:pt idx="500">
                  <c:v>393.27466410095116</c:v>
                </c:pt>
                <c:pt idx="501">
                  <c:v>380.28017243102175</c:v>
                </c:pt>
                <c:pt idx="502">
                  <c:v>367.2589617506178</c:v>
                </c:pt>
                <c:pt idx="503">
                  <c:v>354.2114158030613</c:v>
                </c:pt>
                <c:pt idx="504">
                  <c:v>341.13791579070664</c:v>
                </c:pt>
                <c:pt idx="505">
                  <c:v>328.03884036522766</c:v>
                </c:pt>
                <c:pt idx="506">
                  <c:v>314.91456561850367</c:v>
                </c:pt>
                <c:pt idx="507">
                  <c:v>301.76546507409626</c:v>
                </c:pt>
                <c:pt idx="508">
                  <c:v>288.5919096793092</c:v>
                </c:pt>
                <c:pt idx="509">
                  <c:v>275.3942677978232</c:v>
                </c:pt>
                <c:pt idx="510">
                  <c:v>262.17290520289799</c:v>
                </c:pt>
                <c:pt idx="511">
                  <c:v>248.92818507113265</c:v>
                </c:pt>
                <c:pt idx="512">
                  <c:v>235.66046797677723</c:v>
                </c:pt>
                <c:pt idx="513">
                  <c:v>222.37011188658673</c:v>
                </c:pt>
                <c:pt idx="514">
                  <c:v>209.05747215520947</c:v>
                </c:pt>
                <c:pt idx="515">
                  <c:v>195.72290152110168</c:v>
                </c:pt>
                <c:pt idx="516">
                  <c:v>182.36675010296022</c:v>
                </c:pt>
                <c:pt idx="517">
                  <c:v>168.98936539666505</c:v>
                </c:pt>
                <c:pt idx="518">
                  <c:v>155.59109227272305</c:v>
                </c:pt>
                <c:pt idx="519">
                  <c:v>142.1722729742055</c:v>
                </c:pt>
                <c:pt idx="520">
                  <c:v>128.73324711517037</c:v>
                </c:pt>
                <c:pt idx="521">
                  <c:v>115.27435167956151</c:v>
                </c:pt>
                <c:pt idx="522">
                  <c:v>101.79592102057647</c:v>
                </c:pt>
                <c:pt idx="523">
                  <c:v>88.298286860494756</c:v>
                </c:pt>
                <c:pt idx="524">
                  <c:v>74.781778290958073</c:v>
                </c:pt>
                <c:pt idx="525">
                  <c:v>61.246721773694752</c:v>
                </c:pt>
                <c:pt idx="526">
                  <c:v>47.693441141679791</c:v>
                </c:pt>
                <c:pt idx="527">
                  <c:v>34.122257600722669</c:v>
                </c:pt>
                <c:pt idx="528">
                  <c:v>20.533489731474582</c:v>
                </c:pt>
                <c:pt idx="529">
                  <c:v>6.9274534918471407</c:v>
                </c:pt>
                <c:pt idx="530">
                  <c:v>-6.6955377801656066</c:v>
                </c:pt>
                <c:pt idx="531">
                  <c:v>-6.7091691791914165</c:v>
                </c:pt>
                <c:pt idx="532">
                  <c:v>-6.7228005947066771</c:v>
                </c:pt>
                <c:pt idx="533">
                  <c:v>-6.7364320267110829</c:v>
                </c:pt>
                <c:pt idx="534">
                  <c:v>-6.7500634752043274</c:v>
                </c:pt>
                <c:pt idx="535">
                  <c:v>-6.7636949401861042</c:v>
                </c:pt>
                <c:pt idx="536">
                  <c:v>-6.7773264216561069</c:v>
                </c:pt>
                <c:pt idx="537">
                  <c:v>-6.7909579196140291</c:v>
                </c:pt>
                <c:pt idx="538">
                  <c:v>-6.8045894340595652</c:v>
                </c:pt>
                <c:pt idx="539">
                  <c:v>-6.8182209649924079</c:v>
                </c:pt>
                <c:pt idx="540">
                  <c:v>-6.8318525124122518</c:v>
                </c:pt>
                <c:pt idx="541">
                  <c:v>-6.8454840763187903</c:v>
                </c:pt>
                <c:pt idx="542">
                  <c:v>-6.8591156567117171</c:v>
                </c:pt>
                <c:pt idx="543">
                  <c:v>-6.8727472535907266</c:v>
                </c:pt>
                <c:pt idx="544">
                  <c:v>-6.8863788669555124</c:v>
                </c:pt>
                <c:pt idx="545">
                  <c:v>-6.9000104968057681</c:v>
                </c:pt>
                <c:pt idx="546">
                  <c:v>-6.9136421431411872</c:v>
                </c:pt>
                <c:pt idx="547">
                  <c:v>-6.9272738059614634</c:v>
                </c:pt>
                <c:pt idx="548">
                  <c:v>-6.940905485266291</c:v>
                </c:pt>
                <c:pt idx="549">
                  <c:v>-6.9545371810553629</c:v>
                </c:pt>
                <c:pt idx="550">
                  <c:v>-6.9681688933283734</c:v>
                </c:pt>
                <c:pt idx="551">
                  <c:v>-6.9818006220850171</c:v>
                </c:pt>
                <c:pt idx="552">
                  <c:v>-6.9954323673249865</c:v>
                </c:pt>
                <c:pt idx="553">
                  <c:v>-7.0090641290479763</c:v>
                </c:pt>
                <c:pt idx="554">
                  <c:v>-7.0226959072536799</c:v>
                </c:pt>
                <c:pt idx="555">
                  <c:v>-7.0363277019417909</c:v>
                </c:pt>
                <c:pt idx="556">
                  <c:v>-7.049959513112003</c:v>
                </c:pt>
                <c:pt idx="557">
                  <c:v>-7.0635913407640105</c:v>
                </c:pt>
                <c:pt idx="558">
                  <c:v>-7.0772231848975071</c:v>
                </c:pt>
                <c:pt idx="559">
                  <c:v>-7.0908550455121864</c:v>
                </c:pt>
                <c:pt idx="560">
                  <c:v>-7.1044869226077418</c:v>
                </c:pt>
                <c:pt idx="561">
                  <c:v>-7.118118816183868</c:v>
                </c:pt>
                <c:pt idx="562">
                  <c:v>-7.1317507262402584</c:v>
                </c:pt>
                <c:pt idx="563">
                  <c:v>-7.1453826527766067</c:v>
                </c:pt>
                <c:pt idx="564">
                  <c:v>-7.1590145957926064</c:v>
                </c:pt>
                <c:pt idx="565">
                  <c:v>-7.1726465552879519</c:v>
                </c:pt>
                <c:pt idx="566">
                  <c:v>-7.186278531262337</c:v>
                </c:pt>
                <c:pt idx="567">
                  <c:v>-7.199910523715455</c:v>
                </c:pt>
                <c:pt idx="568">
                  <c:v>-7.2135425326470006</c:v>
                </c:pt>
                <c:pt idx="569">
                  <c:v>-7.2271745580566664</c:v>
                </c:pt>
                <c:pt idx="570">
                  <c:v>-7.2408065999441469</c:v>
                </c:pt>
                <c:pt idx="571">
                  <c:v>-7.2544386583091365</c:v>
                </c:pt>
                <c:pt idx="572">
                  <c:v>-7.2680707331513279</c:v>
                </c:pt>
                <c:pt idx="573">
                  <c:v>-7.2817028244704156</c:v>
                </c:pt>
                <c:pt idx="574">
                  <c:v>-7.2953349322660941</c:v>
                </c:pt>
                <c:pt idx="575">
                  <c:v>-7.308967056538056</c:v>
                </c:pt>
                <c:pt idx="576">
                  <c:v>-7.3225991972859958</c:v>
                </c:pt>
                <c:pt idx="577">
                  <c:v>-7.3362313545096072</c:v>
                </c:pt>
                <c:pt idx="578">
                  <c:v>-7.3498635282085836</c:v>
                </c:pt>
                <c:pt idx="579">
                  <c:v>-7.3634957183826195</c:v>
                </c:pt>
                <c:pt idx="580">
                  <c:v>-7.3771279250314086</c:v>
                </c:pt>
                <c:pt idx="581">
                  <c:v>-7.3907601481546452</c:v>
                </c:pt>
                <c:pt idx="582">
                  <c:v>-7.4043923877520221</c:v>
                </c:pt>
                <c:pt idx="583">
                  <c:v>-7.4180246438232338</c:v>
                </c:pt>
                <c:pt idx="584">
                  <c:v>-7.4316569163679747</c:v>
                </c:pt>
                <c:pt idx="585">
                  <c:v>-7.4452892053859374</c:v>
                </c:pt>
                <c:pt idx="586">
                  <c:v>-7.4589215108768165</c:v>
                </c:pt>
                <c:pt idx="587">
                  <c:v>-7.4725538328403065</c:v>
                </c:pt>
                <c:pt idx="588">
                  <c:v>-7.4861861712761</c:v>
                </c:pt>
                <c:pt idx="589">
                  <c:v>-7.4998185261838914</c:v>
                </c:pt>
                <c:pt idx="590">
                  <c:v>-7.5134508975633745</c:v>
                </c:pt>
                <c:pt idx="591">
                  <c:v>-7.5270832854142435</c:v>
                </c:pt>
                <c:pt idx="592">
                  <c:v>-7.5407156897361922</c:v>
                </c:pt>
                <c:pt idx="593">
                  <c:v>-7.5543481105289141</c:v>
                </c:pt>
                <c:pt idx="594">
                  <c:v>-7.5679805477921036</c:v>
                </c:pt>
                <c:pt idx="595">
                  <c:v>-7.5816130015254544</c:v>
                </c:pt>
                <c:pt idx="596">
                  <c:v>-7.5952454717286608</c:v>
                </c:pt>
                <c:pt idx="597">
                  <c:v>-7.6088779584014157</c:v>
                </c:pt>
                <c:pt idx="598">
                  <c:v>-7.6225104615434143</c:v>
                </c:pt>
                <c:pt idx="599">
                  <c:v>-7.6361429811543493</c:v>
                </c:pt>
                <c:pt idx="600">
                  <c:v>-7.6497755172339152</c:v>
                </c:pt>
                <c:pt idx="601">
                  <c:v>-7.6634080697818057</c:v>
                </c:pt>
                <c:pt idx="602">
                  <c:v>-7.677040638797715</c:v>
                </c:pt>
                <c:pt idx="603">
                  <c:v>-7.6906732242813369</c:v>
                </c:pt>
                <c:pt idx="604">
                  <c:v>-7.7043058262323649</c:v>
                </c:pt>
                <c:pt idx="605">
                  <c:v>-7.7179384446504935</c:v>
                </c:pt>
                <c:pt idx="606">
                  <c:v>-7.7315710795354162</c:v>
                </c:pt>
                <c:pt idx="607">
                  <c:v>-7.7452037308868276</c:v>
                </c:pt>
                <c:pt idx="608">
                  <c:v>-7.7588363987044202</c:v>
                </c:pt>
                <c:pt idx="609">
                  <c:v>-7.7724690829878895</c:v>
                </c:pt>
                <c:pt idx="610">
                  <c:v>-7.7861017837369291</c:v>
                </c:pt>
                <c:pt idx="611">
                  <c:v>-7.7997345009512324</c:v>
                </c:pt>
                <c:pt idx="612">
                  <c:v>-7.8133672346304932</c:v>
                </c:pt>
                <c:pt idx="613">
                  <c:v>-7.8269999847744058</c:v>
                </c:pt>
                <c:pt idx="614">
                  <c:v>-7.8406327513826639</c:v>
                </c:pt>
                <c:pt idx="615">
                  <c:v>-7.8542655344549619</c:v>
                </c:pt>
                <c:pt idx="616">
                  <c:v>-7.8678983339909934</c:v>
                </c:pt>
                <c:pt idx="617">
                  <c:v>-7.8815311499904528</c:v>
                </c:pt>
                <c:pt idx="618">
                  <c:v>-7.8951639824530337</c:v>
                </c:pt>
                <c:pt idx="619">
                  <c:v>-7.9087968313784298</c:v>
                </c:pt>
                <c:pt idx="620">
                  <c:v>-7.9224296967663355</c:v>
                </c:pt>
                <c:pt idx="621">
                  <c:v>-7.9360625786164452</c:v>
                </c:pt>
                <c:pt idx="622">
                  <c:v>-7.9496954769284516</c:v>
                </c:pt>
                <c:pt idx="623">
                  <c:v>-7.9633283917020492</c:v>
                </c:pt>
                <c:pt idx="624">
                  <c:v>-7.9769613229369325</c:v>
                </c:pt>
                <c:pt idx="625">
                  <c:v>-7.990594270632795</c:v>
                </c:pt>
                <c:pt idx="626">
                  <c:v>-8.0042272347893313</c:v>
                </c:pt>
                <c:pt idx="627">
                  <c:v>-8.0178602154062339</c:v>
                </c:pt>
                <c:pt idx="628">
                  <c:v>-8.0314932124831984</c:v>
                </c:pt>
                <c:pt idx="629">
                  <c:v>-8.0451262260199172</c:v>
                </c:pt>
                <c:pt idx="630">
                  <c:v>-8.058759256016085</c:v>
                </c:pt>
                <c:pt idx="631">
                  <c:v>-8.0723923024713962</c:v>
                </c:pt>
                <c:pt idx="632">
                  <c:v>-8.0860253653855452</c:v>
                </c:pt>
                <c:pt idx="633">
                  <c:v>-8.0996584447582247</c:v>
                </c:pt>
                <c:pt idx="634">
                  <c:v>-8.1132915405891293</c:v>
                </c:pt>
                <c:pt idx="635">
                  <c:v>-8.1269246528779533</c:v>
                </c:pt>
                <c:pt idx="636">
                  <c:v>-8.1405577816243913</c:v>
                </c:pt>
                <c:pt idx="637">
                  <c:v>-8.1541909268281358</c:v>
                </c:pt>
                <c:pt idx="638">
                  <c:v>-8.1678240884888815</c:v>
                </c:pt>
                <c:pt idx="639">
                  <c:v>-8.1814572666063228</c:v>
                </c:pt>
                <c:pt idx="640">
                  <c:v>-8.1950904611801523</c:v>
                </c:pt>
                <c:pt idx="641">
                  <c:v>-8.2087236722100663</c:v>
                </c:pt>
                <c:pt idx="642">
                  <c:v>-8.2223568996957574</c:v>
                </c:pt>
                <c:pt idx="643">
                  <c:v>-8.2359901436369185</c:v>
                </c:pt>
                <c:pt idx="644">
                  <c:v>-8.2496234040332457</c:v>
                </c:pt>
                <c:pt idx="645">
                  <c:v>-8.2632566808844317</c:v>
                </c:pt>
                <c:pt idx="646">
                  <c:v>-8.2768899741901709</c:v>
                </c:pt>
                <c:pt idx="647">
                  <c:v>-8.2905232839501579</c:v>
                </c:pt>
                <c:pt idx="648">
                  <c:v>-8.3041566101640854</c:v>
                </c:pt>
                <c:pt idx="649">
                  <c:v>-8.3177899528316495</c:v>
                </c:pt>
                <c:pt idx="650">
                  <c:v>-8.3314233119525429</c:v>
                </c:pt>
                <c:pt idx="651">
                  <c:v>-8.3450566875264585</c:v>
                </c:pt>
                <c:pt idx="652">
                  <c:v>-8.3586900795530923</c:v>
                </c:pt>
                <c:pt idx="653">
                  <c:v>-8.3723234880321371</c:v>
                </c:pt>
                <c:pt idx="654">
                  <c:v>-8.3859569129632874</c:v>
                </c:pt>
                <c:pt idx="655">
                  <c:v>-8.3995903543462376</c:v>
                </c:pt>
                <c:pt idx="656">
                  <c:v>-8.4132238121806822</c:v>
                </c:pt>
                <c:pt idx="657">
                  <c:v>-8.4268572864663138</c:v>
                </c:pt>
                <c:pt idx="658">
                  <c:v>-8.440490777202827</c:v>
                </c:pt>
                <c:pt idx="659">
                  <c:v>-8.4541242843899163</c:v>
                </c:pt>
                <c:pt idx="660">
                  <c:v>-8.467757808027276</c:v>
                </c:pt>
                <c:pt idx="661">
                  <c:v>-8.4813913481145988</c:v>
                </c:pt>
                <c:pt idx="662">
                  <c:v>-8.4950249046515793</c:v>
                </c:pt>
                <c:pt idx="663">
                  <c:v>-8.5086584776379119</c:v>
                </c:pt>
                <c:pt idx="664">
                  <c:v>-8.5222920670732911</c:v>
                </c:pt>
                <c:pt idx="665">
                  <c:v>-8.5359256729574113</c:v>
                </c:pt>
                <c:pt idx="666">
                  <c:v>-8.5495592952899653</c:v>
                </c:pt>
                <c:pt idx="667">
                  <c:v>-8.5631929340706474</c:v>
                </c:pt>
                <c:pt idx="668">
                  <c:v>-8.5768265892991522</c:v>
                </c:pt>
                <c:pt idx="669">
                  <c:v>-8.5904602609751741</c:v>
                </c:pt>
                <c:pt idx="670">
                  <c:v>-8.6040939490984059</c:v>
                </c:pt>
                <c:pt idx="671">
                  <c:v>-8.6177276536685419</c:v>
                </c:pt>
                <c:pt idx="672">
                  <c:v>-8.6313613746852766</c:v>
                </c:pt>
                <c:pt idx="673">
                  <c:v>-8.6449951121483046</c:v>
                </c:pt>
                <c:pt idx="674">
                  <c:v>-8.6586288660573203</c:v>
                </c:pt>
                <c:pt idx="675">
                  <c:v>-8.6722626364120163</c:v>
                </c:pt>
                <c:pt idx="676">
                  <c:v>-8.6858964232120872</c:v>
                </c:pt>
                <c:pt idx="677">
                  <c:v>-8.6995302264572274</c:v>
                </c:pt>
                <c:pt idx="678">
                  <c:v>-8.7131640461471314</c:v>
                </c:pt>
                <c:pt idx="679">
                  <c:v>-8.7267978822814936</c:v>
                </c:pt>
                <c:pt idx="680">
                  <c:v>-8.7404317348600067</c:v>
                </c:pt>
                <c:pt idx="681">
                  <c:v>-8.7540656038823652</c:v>
                </c:pt>
                <c:pt idx="682">
                  <c:v>-8.7676994893482636</c:v>
                </c:pt>
                <c:pt idx="683">
                  <c:v>-8.7813333912573963</c:v>
                </c:pt>
                <c:pt idx="684">
                  <c:v>-8.7949673096094578</c:v>
                </c:pt>
                <c:pt idx="685">
                  <c:v>-8.8086012444041408</c:v>
                </c:pt>
                <c:pt idx="686">
                  <c:v>-8.8222351956411416</c:v>
                </c:pt>
                <c:pt idx="687">
                  <c:v>-8.8358691633201527</c:v>
                </c:pt>
                <c:pt idx="688">
                  <c:v>-8.849503147440867</c:v>
                </c:pt>
                <c:pt idx="689">
                  <c:v>-8.8631371480029806</c:v>
                </c:pt>
                <c:pt idx="690">
                  <c:v>-8.876771165006188</c:v>
                </c:pt>
                <c:pt idx="691">
                  <c:v>-8.890405198450182</c:v>
                </c:pt>
                <c:pt idx="692">
                  <c:v>-8.9040392483346569</c:v>
                </c:pt>
                <c:pt idx="693">
                  <c:v>-8.9176733146593072</c:v>
                </c:pt>
                <c:pt idx="694">
                  <c:v>-8.9313073974238275</c:v>
                </c:pt>
                <c:pt idx="695">
                  <c:v>-8.9449414966279104</c:v>
                </c:pt>
                <c:pt idx="696">
                  <c:v>-8.9585756122712521</c:v>
                </c:pt>
                <c:pt idx="697">
                  <c:v>-8.9722097443535453</c:v>
                </c:pt>
                <c:pt idx="698">
                  <c:v>-8.9858438928744846</c:v>
                </c:pt>
                <c:pt idx="699">
                  <c:v>-8.9994780578337643</c:v>
                </c:pt>
                <c:pt idx="700">
                  <c:v>-9.013112239231079</c:v>
                </c:pt>
                <c:pt idx="701">
                  <c:v>-9.0267464370661212</c:v>
                </c:pt>
                <c:pt idx="702">
                  <c:v>-9.0403806513385874</c:v>
                </c:pt>
                <c:pt idx="703">
                  <c:v>-9.0540148820481701</c:v>
                </c:pt>
                <c:pt idx="704">
                  <c:v>-9.0676491291945638</c:v>
                </c:pt>
                <c:pt idx="705">
                  <c:v>-9.081283392777463</c:v>
                </c:pt>
                <c:pt idx="706">
                  <c:v>-9.0949176727965622</c:v>
                </c:pt>
                <c:pt idx="707">
                  <c:v>-9.108551969251554</c:v>
                </c:pt>
                <c:pt idx="708">
                  <c:v>-9.1221862821421347</c:v>
                </c:pt>
                <c:pt idx="709">
                  <c:v>-9.135820611467997</c:v>
                </c:pt>
                <c:pt idx="710">
                  <c:v>-9.1494549572288353</c:v>
                </c:pt>
                <c:pt idx="711">
                  <c:v>-9.1630893194243441</c:v>
                </c:pt>
                <c:pt idx="712">
                  <c:v>-9.1767236980542179</c:v>
                </c:pt>
                <c:pt idx="713">
                  <c:v>-9.1903580931181494</c:v>
                </c:pt>
                <c:pt idx="714">
                  <c:v>-9.2039925046158348</c:v>
                </c:pt>
                <c:pt idx="715">
                  <c:v>-9.2176269325469669</c:v>
                </c:pt>
                <c:pt idx="716">
                  <c:v>-9.2312613769112399</c:v>
                </c:pt>
                <c:pt idx="717">
                  <c:v>-9.2448958377083486</c:v>
                </c:pt>
                <c:pt idx="718">
                  <c:v>-9.2585303149379872</c:v>
                </c:pt>
                <c:pt idx="719">
                  <c:v>-9.2721648085998503</c:v>
                </c:pt>
                <c:pt idx="720">
                  <c:v>-9.2857993186936323</c:v>
                </c:pt>
                <c:pt idx="721">
                  <c:v>-9.2994338452190259</c:v>
                </c:pt>
                <c:pt idx="722">
                  <c:v>-9.3130683881757275</c:v>
                </c:pt>
                <c:pt idx="723">
                  <c:v>-9.3267029475634295</c:v>
                </c:pt>
                <c:pt idx="724">
                  <c:v>-9.3403375233818267</c:v>
                </c:pt>
                <c:pt idx="725">
                  <c:v>-9.3539721156306133</c:v>
                </c:pt>
                <c:pt idx="726">
                  <c:v>-9.3676067243094838</c:v>
                </c:pt>
                <c:pt idx="727">
                  <c:v>-9.381241349418131</c:v>
                </c:pt>
                <c:pt idx="728">
                  <c:v>-9.3948759909562511</c:v>
                </c:pt>
                <c:pt idx="729">
                  <c:v>-9.4085106489235368</c:v>
                </c:pt>
                <c:pt idx="730">
                  <c:v>-9.4221453233196844</c:v>
                </c:pt>
                <c:pt idx="731">
                  <c:v>-9.4357800141443864</c:v>
                </c:pt>
                <c:pt idx="732">
                  <c:v>-9.4494147213973374</c:v>
                </c:pt>
                <c:pt idx="733">
                  <c:v>-9.4630494450782319</c:v>
                </c:pt>
                <c:pt idx="734">
                  <c:v>-9.4766841851867643</c:v>
                </c:pt>
                <c:pt idx="735">
                  <c:v>-9.4903189417226272</c:v>
                </c:pt>
                <c:pt idx="736">
                  <c:v>-9.5039537146855171</c:v>
                </c:pt>
                <c:pt idx="737">
                  <c:v>-9.5175885040751265</c:v>
                </c:pt>
                <c:pt idx="738">
                  <c:v>-9.5312233098911516</c:v>
                </c:pt>
                <c:pt idx="739">
                  <c:v>-9.5448581321332853</c:v>
                </c:pt>
                <c:pt idx="740">
                  <c:v>-9.5584929708012218</c:v>
                </c:pt>
                <c:pt idx="741">
                  <c:v>-9.5721278258946558</c:v>
                </c:pt>
                <c:pt idx="742">
                  <c:v>-9.5857626974132817</c:v>
                </c:pt>
                <c:pt idx="743">
                  <c:v>-9.5993975853567939</c:v>
                </c:pt>
                <c:pt idx="744">
                  <c:v>-9.6130324897248851</c:v>
                </c:pt>
                <c:pt idx="745">
                  <c:v>-9.6266674105172516</c:v>
                </c:pt>
                <c:pt idx="746">
                  <c:v>-9.6403023477335861</c:v>
                </c:pt>
                <c:pt idx="747">
                  <c:v>-9.6539373013735847</c:v>
                </c:pt>
                <c:pt idx="748">
                  <c:v>-9.6675722714369403</c:v>
                </c:pt>
                <c:pt idx="749">
                  <c:v>-9.6812072579233472</c:v>
                </c:pt>
                <c:pt idx="750">
                  <c:v>-9.6948422608325</c:v>
                </c:pt>
                <c:pt idx="751">
                  <c:v>-9.7084772801640931</c:v>
                </c:pt>
                <c:pt idx="752">
                  <c:v>-9.7221123159178209</c:v>
                </c:pt>
                <c:pt idx="753">
                  <c:v>-9.7357473680933779</c:v>
                </c:pt>
                <c:pt idx="754">
                  <c:v>-9.7493824366904587</c:v>
                </c:pt>
                <c:pt idx="755">
                  <c:v>-9.7630175217087558</c:v>
                </c:pt>
                <c:pt idx="756">
                  <c:v>-9.7766526231479656</c:v>
                </c:pt>
                <c:pt idx="757">
                  <c:v>-9.7902877410077807</c:v>
                </c:pt>
                <c:pt idx="758">
                  <c:v>-9.8039228752878973</c:v>
                </c:pt>
                <c:pt idx="759">
                  <c:v>-9.8175580259880082</c:v>
                </c:pt>
                <c:pt idx="760">
                  <c:v>-9.8311931931078078</c:v>
                </c:pt>
                <c:pt idx="761">
                  <c:v>-9.8448283766469906</c:v>
                </c:pt>
                <c:pt idx="762">
                  <c:v>-9.8584635766052511</c:v>
                </c:pt>
                <c:pt idx="763">
                  <c:v>-9.8720987929822837</c:v>
                </c:pt>
                <c:pt idx="764">
                  <c:v>-9.8857340257777828</c:v>
                </c:pt>
                <c:pt idx="765">
                  <c:v>-9.899369274991443</c:v>
                </c:pt>
                <c:pt idx="766">
                  <c:v>-9.9130045406229588</c:v>
                </c:pt>
                <c:pt idx="767">
                  <c:v>-9.9266398226720227</c:v>
                </c:pt>
                <c:pt idx="768">
                  <c:v>-9.9402751211383311</c:v>
                </c:pt>
                <c:pt idx="769">
                  <c:v>-9.9539104360215767</c:v>
                </c:pt>
                <c:pt idx="770">
                  <c:v>-9.9675457673214556</c:v>
                </c:pt>
                <c:pt idx="771">
                  <c:v>-9.9811811150376606</c:v>
                </c:pt>
                <c:pt idx="772">
                  <c:v>-9.9948164791698861</c:v>
                </c:pt>
                <c:pt idx="773">
                  <c:v>-10.008451859717828</c:v>
                </c:pt>
                <c:pt idx="774">
                  <c:v>-10.02208725668118</c:v>
                </c:pt>
                <c:pt idx="775">
                  <c:v>-10.035722670059636</c:v>
                </c:pt>
                <c:pt idx="776">
                  <c:v>-10.04935809985289</c:v>
                </c:pt>
                <c:pt idx="777">
                  <c:v>-10.062993546060637</c:v>
                </c:pt>
                <c:pt idx="778">
                  <c:v>-10.076629008682572</c:v>
                </c:pt>
                <c:pt idx="779">
                  <c:v>-10.090264487718388</c:v>
                </c:pt>
                <c:pt idx="780">
                  <c:v>-10.10389998316778</c:v>
                </c:pt>
                <c:pt idx="781">
                  <c:v>-10.117535495030442</c:v>
                </c:pt>
                <c:pt idx="782">
                  <c:v>-10.131171023306068</c:v>
                </c:pt>
                <c:pt idx="783">
                  <c:v>-10.144806567994355</c:v>
                </c:pt>
                <c:pt idx="784">
                  <c:v>-10.158442129094993</c:v>
                </c:pt>
                <c:pt idx="785">
                  <c:v>-10.172077706607681</c:v>
                </c:pt>
                <c:pt idx="786">
                  <c:v>-10.185713300532111</c:v>
                </c:pt>
                <c:pt idx="787">
                  <c:v>-10.199348910867977</c:v>
                </c:pt>
                <c:pt idx="788">
                  <c:v>-10.212984537614975</c:v>
                </c:pt>
                <c:pt idx="789">
                  <c:v>-10.226620180772798</c:v>
                </c:pt>
                <c:pt idx="790">
                  <c:v>-10.24025584034114</c:v>
                </c:pt>
                <c:pt idx="791">
                  <c:v>-10.253891516319698</c:v>
                </c:pt>
                <c:pt idx="792">
                  <c:v>-10.267527208708163</c:v>
                </c:pt>
                <c:pt idx="793">
                  <c:v>-10.281162917506231</c:v>
                </c:pt>
                <c:pt idx="794">
                  <c:v>-10.294798642713596</c:v>
                </c:pt>
                <c:pt idx="795">
                  <c:v>-10.308434384329955</c:v>
                </c:pt>
                <c:pt idx="796">
                  <c:v>-10.322070142354999</c:v>
                </c:pt>
                <c:pt idx="797">
                  <c:v>-10.335705916788424</c:v>
                </c:pt>
                <c:pt idx="798">
                  <c:v>-10.349341707629923</c:v>
                </c:pt>
                <c:pt idx="799">
                  <c:v>-10.362977514879192</c:v>
                </c:pt>
                <c:pt idx="800">
                  <c:v>-10.376613338535925</c:v>
                </c:pt>
                <c:pt idx="801">
                  <c:v>-10.390249178599817</c:v>
                </c:pt>
                <c:pt idx="802">
                  <c:v>-10.403885035070561</c:v>
                </c:pt>
                <c:pt idx="803">
                  <c:v>-10.417520907947852</c:v>
                </c:pt>
                <c:pt idx="804">
                  <c:v>-10.431156797231385</c:v>
                </c:pt>
                <c:pt idx="805">
                  <c:v>-10.444792702920854</c:v>
                </c:pt>
                <c:pt idx="806">
                  <c:v>-10.458428625015953</c:v>
                </c:pt>
                <c:pt idx="807">
                  <c:v>-10.472064563516378</c:v>
                </c:pt>
                <c:pt idx="808">
                  <c:v>-10.485700518421822</c:v>
                </c:pt>
                <c:pt idx="809">
                  <c:v>-10.499336489731981</c:v>
                </c:pt>
                <c:pt idx="810">
                  <c:v>-10.512972477446548</c:v>
                </c:pt>
                <c:pt idx="811">
                  <c:v>-10.526608481565217</c:v>
                </c:pt>
                <c:pt idx="812">
                  <c:v>-10.540244502087685</c:v>
                </c:pt>
                <c:pt idx="813">
                  <c:v>-10.553880539013644</c:v>
                </c:pt>
                <c:pt idx="814">
                  <c:v>-10.567516592342788</c:v>
                </c:pt>
                <c:pt idx="815">
                  <c:v>-10.581152662074812</c:v>
                </c:pt>
                <c:pt idx="816">
                  <c:v>-10.594788748209412</c:v>
                </c:pt>
                <c:pt idx="817">
                  <c:v>-10.608424850746282</c:v>
                </c:pt>
                <c:pt idx="818">
                  <c:v>-10.622060969685116</c:v>
                </c:pt>
                <c:pt idx="819">
                  <c:v>-10.635697105025608</c:v>
                </c:pt>
                <c:pt idx="820">
                  <c:v>-10.649333256767454</c:v>
                </c:pt>
                <c:pt idx="821">
                  <c:v>-10.662969424910347</c:v>
                </c:pt>
                <c:pt idx="822">
                  <c:v>-10.676605609453981</c:v>
                </c:pt>
                <c:pt idx="823">
                  <c:v>-10.690241810398051</c:v>
                </c:pt>
                <c:pt idx="824">
                  <c:v>-10.703878027742252</c:v>
                </c:pt>
                <c:pt idx="825">
                  <c:v>-10.717514261486279</c:v>
                </c:pt>
                <c:pt idx="826">
                  <c:v>-10.731150511629826</c:v>
                </c:pt>
                <c:pt idx="827">
                  <c:v>-10.744786778172587</c:v>
                </c:pt>
                <c:pt idx="828">
                  <c:v>-10.758423061114257</c:v>
                </c:pt>
                <c:pt idx="829">
                  <c:v>-10.772059360454531</c:v>
                </c:pt>
                <c:pt idx="830">
                  <c:v>-10.785695676193102</c:v>
                </c:pt>
                <c:pt idx="831">
                  <c:v>-10.799332008329666</c:v>
                </c:pt>
                <c:pt idx="832">
                  <c:v>-10.812968356863916</c:v>
                </c:pt>
                <c:pt idx="833">
                  <c:v>-10.826604721795547</c:v>
                </c:pt>
                <c:pt idx="834">
                  <c:v>-10.840241103124255</c:v>
                </c:pt>
                <c:pt idx="835">
                  <c:v>-10.853877500849732</c:v>
                </c:pt>
                <c:pt idx="836">
                  <c:v>-10.867513914971674</c:v>
                </c:pt>
                <c:pt idx="837">
                  <c:v>-10.881150345489777</c:v>
                </c:pt>
                <c:pt idx="838">
                  <c:v>-10.894786792403734</c:v>
                </c:pt>
                <c:pt idx="839">
                  <c:v>-10.908423255713238</c:v>
                </c:pt>
                <c:pt idx="840">
                  <c:v>-10.922059735417985</c:v>
                </c:pt>
                <c:pt idx="841">
                  <c:v>-10.935696231517671</c:v>
                </c:pt>
                <c:pt idx="842">
                  <c:v>-10.949332744011988</c:v>
                </c:pt>
                <c:pt idx="843">
                  <c:v>-10.962969272900631</c:v>
                </c:pt>
                <c:pt idx="844">
                  <c:v>-10.976605818183296</c:v>
                </c:pt>
                <c:pt idx="845">
                  <c:v>-10.990242379859676</c:v>
                </c:pt>
                <c:pt idx="846">
                  <c:v>-11.003878957929468</c:v>
                </c:pt>
                <c:pt idx="847">
                  <c:v>-11.017515552392362</c:v>
                </c:pt>
                <c:pt idx="848">
                  <c:v>-11.031152163248057</c:v>
                </c:pt>
                <c:pt idx="849">
                  <c:v>-11.044788790496247</c:v>
                </c:pt>
                <c:pt idx="850">
                  <c:v>-11.058425434136623</c:v>
                </c:pt>
                <c:pt idx="851">
                  <c:v>-11.072062094168883</c:v>
                </c:pt>
                <c:pt idx="852">
                  <c:v>-11.085698770592721</c:v>
                </c:pt>
                <c:pt idx="853">
                  <c:v>-11.099335463407831</c:v>
                </c:pt>
                <c:pt idx="854">
                  <c:v>-11.112972172613906</c:v>
                </c:pt>
                <c:pt idx="855">
                  <c:v>-11.126608898210643</c:v>
                </c:pt>
                <c:pt idx="856">
                  <c:v>-11.140245640197735</c:v>
                </c:pt>
                <c:pt idx="857">
                  <c:v>-11.153882398574879</c:v>
                </c:pt>
                <c:pt idx="858">
                  <c:v>-11.167519173341768</c:v>
                </c:pt>
                <c:pt idx="859">
                  <c:v>-11.181155964498096</c:v>
                </c:pt>
                <c:pt idx="860">
                  <c:v>-11.194792772043558</c:v>
                </c:pt>
                <c:pt idx="861">
                  <c:v>-11.208429595977847</c:v>
                </c:pt>
                <c:pt idx="862">
                  <c:v>-11.222066436300661</c:v>
                </c:pt>
                <c:pt idx="863">
                  <c:v>-11.235703293011692</c:v>
                </c:pt>
                <c:pt idx="864">
                  <c:v>-11.249340166110636</c:v>
                </c:pt>
                <c:pt idx="865">
                  <c:v>-11.262977055597187</c:v>
                </c:pt>
                <c:pt idx="866">
                  <c:v>-11.276613961471039</c:v>
                </c:pt>
                <c:pt idx="867">
                  <c:v>-11.290250883731888</c:v>
                </c:pt>
                <c:pt idx="868">
                  <c:v>-11.303887822379426</c:v>
                </c:pt>
                <c:pt idx="869">
                  <c:v>-11.31752477741335</c:v>
                </c:pt>
                <c:pt idx="870">
                  <c:v>-11.331161748833354</c:v>
                </c:pt>
                <c:pt idx="871">
                  <c:v>-11.344798736639133</c:v>
                </c:pt>
                <c:pt idx="872">
                  <c:v>-11.35843574083038</c:v>
                </c:pt>
                <c:pt idx="873">
                  <c:v>-11.372072761406793</c:v>
                </c:pt>
                <c:pt idx="874">
                  <c:v>-11.385709798368064</c:v>
                </c:pt>
                <c:pt idx="875">
                  <c:v>-11.399346851713887</c:v>
                </c:pt>
                <c:pt idx="876">
                  <c:v>-11.412983921443958</c:v>
                </c:pt>
                <c:pt idx="877">
                  <c:v>-11.426621007557971</c:v>
                </c:pt>
                <c:pt idx="878">
                  <c:v>-11.440258110055622</c:v>
                </c:pt>
                <c:pt idx="879">
                  <c:v>-11.453895228936604</c:v>
                </c:pt>
                <c:pt idx="880">
                  <c:v>-11.467532364200611</c:v>
                </c:pt>
                <c:pt idx="881">
                  <c:v>-11.481169515847339</c:v>
                </c:pt>
                <c:pt idx="882">
                  <c:v>-11.494806683876483</c:v>
                </c:pt>
                <c:pt idx="883">
                  <c:v>-11.508443868287737</c:v>
                </c:pt>
                <c:pt idx="884">
                  <c:v>-11.522081069080796</c:v>
                </c:pt>
                <c:pt idx="885">
                  <c:v>-11.535718286255355</c:v>
                </c:pt>
                <c:pt idx="886">
                  <c:v>-11.549355519811106</c:v>
                </c:pt>
                <c:pt idx="887">
                  <c:v>-11.562992769747748</c:v>
                </c:pt>
                <c:pt idx="888">
                  <c:v>-11.576630036064971</c:v>
                </c:pt>
                <c:pt idx="889">
                  <c:v>-11.590267318762473</c:v>
                </c:pt>
                <c:pt idx="890">
                  <c:v>-11.603904617839948</c:v>
                </c:pt>
                <c:pt idx="891">
                  <c:v>-11.61754193329709</c:v>
                </c:pt>
                <c:pt idx="892">
                  <c:v>-11.631179265133595</c:v>
                </c:pt>
                <c:pt idx="893">
                  <c:v>-11.644816613349155</c:v>
                </c:pt>
                <c:pt idx="894">
                  <c:v>-11.658453977943466</c:v>
                </c:pt>
                <c:pt idx="895">
                  <c:v>-11.672091358916223</c:v>
                </c:pt>
                <c:pt idx="896">
                  <c:v>-11.685728756267121</c:v>
                </c:pt>
                <c:pt idx="897">
                  <c:v>-11.699366169995855</c:v>
                </c:pt>
                <c:pt idx="898">
                  <c:v>-11.713003600102118</c:v>
                </c:pt>
                <c:pt idx="899">
                  <c:v>-11.726641046585605</c:v>
                </c:pt>
                <c:pt idx="900">
                  <c:v>-11.740278509446012</c:v>
                </c:pt>
                <c:pt idx="901">
                  <c:v>-11.753915988683033</c:v>
                </c:pt>
                <c:pt idx="902">
                  <c:v>-11.767553484296362</c:v>
                </c:pt>
                <c:pt idx="903">
                  <c:v>-11.781190996285696</c:v>
                </c:pt>
                <c:pt idx="904">
                  <c:v>-11.794828524650727</c:v>
                </c:pt>
                <c:pt idx="905">
                  <c:v>-11.808466069391152</c:v>
                </c:pt>
                <c:pt idx="906">
                  <c:v>-11.822103630506662</c:v>
                </c:pt>
                <c:pt idx="907">
                  <c:v>-11.835741207996955</c:v>
                </c:pt>
                <c:pt idx="908">
                  <c:v>-11.849378801861725</c:v>
                </c:pt>
                <c:pt idx="909">
                  <c:v>-11.863016412100666</c:v>
                </c:pt>
                <c:pt idx="910">
                  <c:v>-11.876654038713474</c:v>
                </c:pt>
                <c:pt idx="911">
                  <c:v>-11.890291681699843</c:v>
                </c:pt>
                <c:pt idx="912">
                  <c:v>-11.903929341059467</c:v>
                </c:pt>
                <c:pt idx="913">
                  <c:v>-11.917567016792042</c:v>
                </c:pt>
                <c:pt idx="914">
                  <c:v>-11.931204708897262</c:v>
                </c:pt>
                <c:pt idx="915">
                  <c:v>-11.944842417374822</c:v>
                </c:pt>
                <c:pt idx="916">
                  <c:v>-11.958480142224417</c:v>
                </c:pt>
                <c:pt idx="917">
                  <c:v>-11.97211788344574</c:v>
                </c:pt>
                <c:pt idx="918">
                  <c:v>-11.985755641038487</c:v>
                </c:pt>
                <c:pt idx="919">
                  <c:v>-11.999393415002354</c:v>
                </c:pt>
                <c:pt idx="920">
                  <c:v>-12.013031205337034</c:v>
                </c:pt>
                <c:pt idx="921">
                  <c:v>-12.026669012042221</c:v>
                </c:pt>
                <c:pt idx="922">
                  <c:v>-12.040306835117612</c:v>
                </c:pt>
                <c:pt idx="923">
                  <c:v>-12.053944674562899</c:v>
                </c:pt>
                <c:pt idx="924">
                  <c:v>-12.067582530377781</c:v>
                </c:pt>
                <c:pt idx="925">
                  <c:v>-12.081220402561948</c:v>
                </c:pt>
                <c:pt idx="926">
                  <c:v>-12.094858291115099</c:v>
                </c:pt>
                <c:pt idx="927">
                  <c:v>-12.108496196036924</c:v>
                </c:pt>
                <c:pt idx="928">
                  <c:v>-12.122134117327121</c:v>
                </c:pt>
                <c:pt idx="929">
                  <c:v>-12.135772054985384</c:v>
                </c:pt>
                <c:pt idx="930">
                  <c:v>-12.14941000901141</c:v>
                </c:pt>
                <c:pt idx="931">
                  <c:v>-12.16304797940489</c:v>
                </c:pt>
                <c:pt idx="932">
                  <c:v>-12.176685966165522</c:v>
                </c:pt>
                <c:pt idx="933">
                  <c:v>-12.190323969292997</c:v>
                </c:pt>
                <c:pt idx="934">
                  <c:v>-12.203961988787013</c:v>
                </c:pt>
                <c:pt idx="935">
                  <c:v>-12.217600024647263</c:v>
                </c:pt>
                <c:pt idx="936">
                  <c:v>-12.231238076873444</c:v>
                </c:pt>
                <c:pt idx="937">
                  <c:v>-12.244876145465248</c:v>
                </c:pt>
                <c:pt idx="938">
                  <c:v>-12.258514230422373</c:v>
                </c:pt>
                <c:pt idx="939">
                  <c:v>-12.272152331744511</c:v>
                </c:pt>
                <c:pt idx="940">
                  <c:v>-12.285790449431358</c:v>
                </c:pt>
                <c:pt idx="941">
                  <c:v>-12.299428583482609</c:v>
                </c:pt>
                <c:pt idx="942">
                  <c:v>-12.313066733897957</c:v>
                </c:pt>
                <c:pt idx="943">
                  <c:v>-12.326704900677099</c:v>
                </c:pt>
                <c:pt idx="944">
                  <c:v>-12.340343083819727</c:v>
                </c:pt>
                <c:pt idx="945">
                  <c:v>-12.353981283325538</c:v>
                </c:pt>
                <c:pt idx="946">
                  <c:v>-12.367619499194227</c:v>
                </c:pt>
                <c:pt idx="947">
                  <c:v>-12.381257731425487</c:v>
                </c:pt>
                <c:pt idx="948">
                  <c:v>-12.394895980019015</c:v>
                </c:pt>
                <c:pt idx="949">
                  <c:v>-12.408534244974506</c:v>
                </c:pt>
                <c:pt idx="950">
                  <c:v>-12.422172526291652</c:v>
                </c:pt>
                <c:pt idx="951">
                  <c:v>-12.435810823970149</c:v>
                </c:pt>
                <c:pt idx="952">
                  <c:v>-12.449449138009694</c:v>
                </c:pt>
                <c:pt idx="953">
                  <c:v>-12.463087468409979</c:v>
                </c:pt>
                <c:pt idx="954">
                  <c:v>-12.476725815170701</c:v>
                </c:pt>
                <c:pt idx="955">
                  <c:v>-12.490364178291554</c:v>
                </c:pt>
                <c:pt idx="956">
                  <c:v>-12.504002557772232</c:v>
                </c:pt>
                <c:pt idx="957">
                  <c:v>-12.51764095361243</c:v>
                </c:pt>
                <c:pt idx="958">
                  <c:v>-12.531279365811843</c:v>
                </c:pt>
                <c:pt idx="959">
                  <c:v>-12.544917794370166</c:v>
                </c:pt>
                <c:pt idx="960">
                  <c:v>-12.558556239287094</c:v>
                </c:pt>
                <c:pt idx="961">
                  <c:v>-12.572194700562322</c:v>
                </c:pt>
                <c:pt idx="962">
                  <c:v>-12.585833178195545</c:v>
                </c:pt>
                <c:pt idx="963">
                  <c:v>-12.599471672186457</c:v>
                </c:pt>
                <c:pt idx="964">
                  <c:v>-12.613110182534752</c:v>
                </c:pt>
                <c:pt idx="965">
                  <c:v>-12.626748709240127</c:v>
                </c:pt>
                <c:pt idx="966">
                  <c:v>-12.640387252302276</c:v>
                </c:pt>
                <c:pt idx="967">
                  <c:v>-12.654025811720894</c:v>
                </c:pt>
                <c:pt idx="968">
                  <c:v>-12.667664387495675</c:v>
                </c:pt>
                <c:pt idx="969">
                  <c:v>-12.681302979626315</c:v>
                </c:pt>
                <c:pt idx="970">
                  <c:v>-12.694941588112508</c:v>
                </c:pt>
                <c:pt idx="971">
                  <c:v>-12.708580212953949</c:v>
                </c:pt>
                <c:pt idx="972">
                  <c:v>-12.722218854150334</c:v>
                </c:pt>
                <c:pt idx="973">
                  <c:v>-12.735857511701356</c:v>
                </c:pt>
                <c:pt idx="974">
                  <c:v>-12.749496185606711</c:v>
                </c:pt>
                <c:pt idx="975">
                  <c:v>-12.763134875866093</c:v>
                </c:pt>
                <c:pt idx="976">
                  <c:v>-12.776773582479199</c:v>
                </c:pt>
                <c:pt idx="977">
                  <c:v>-12.790412305445722</c:v>
                </c:pt>
                <c:pt idx="978">
                  <c:v>-12.804051044765357</c:v>
                </c:pt>
                <c:pt idx="979">
                  <c:v>-12.817689800437799</c:v>
                </c:pt>
                <c:pt idx="980">
                  <c:v>-12.831328572462745</c:v>
                </c:pt>
                <c:pt idx="981">
                  <c:v>-12.844967360839886</c:v>
                </c:pt>
                <c:pt idx="982">
                  <c:v>-12.85860616556892</c:v>
                </c:pt>
                <c:pt idx="983">
                  <c:v>-12.872244986649541</c:v>
                </c:pt>
                <c:pt idx="984">
                  <c:v>-12.885883824081443</c:v>
                </c:pt>
                <c:pt idx="985">
                  <c:v>-12.899522677864322</c:v>
                </c:pt>
                <c:pt idx="986">
                  <c:v>-12.913161547997873</c:v>
                </c:pt>
                <c:pt idx="987">
                  <c:v>-12.926800434481791</c:v>
                </c:pt>
                <c:pt idx="988">
                  <c:v>-12.94043933731577</c:v>
                </c:pt>
                <c:pt idx="989">
                  <c:v>-12.954078256499503</c:v>
                </c:pt>
                <c:pt idx="990">
                  <c:v>-12.967717192032689</c:v>
                </c:pt>
                <c:pt idx="991">
                  <c:v>-12.98135614391502</c:v>
                </c:pt>
                <c:pt idx="992">
                  <c:v>-12.994995112146194</c:v>
                </c:pt>
                <c:pt idx="993">
                  <c:v>-13.008634096725903</c:v>
                </c:pt>
                <c:pt idx="994">
                  <c:v>-13.022273097653843</c:v>
                </c:pt>
                <c:pt idx="995">
                  <c:v>-13.035912114929708</c:v>
                </c:pt>
                <c:pt idx="996">
                  <c:v>-13.049551148553194</c:v>
                </c:pt>
                <c:pt idx="997">
                  <c:v>-13.063190198523996</c:v>
                </c:pt>
                <c:pt idx="998">
                  <c:v>-13.076829264841809</c:v>
                </c:pt>
                <c:pt idx="999">
                  <c:v>-13.090468347506327</c:v>
                </c:pt>
                <c:pt idx="1000">
                  <c:v>-13.104107446517245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1-4567-B7A1-067915120221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1856.0996538431443</c:v>
                </c:pt>
                <c:pt idx="302">
                  <c:v>1856.9418870777899</c:v>
                </c:pt>
                <c:pt idx="303">
                  <c:v>1857.6853833193331</c:v>
                </c:pt>
                <c:pt idx="304">
                  <c:v>1858.3302279115285</c:v>
                </c:pt>
                <c:pt idx="305">
                  <c:v>1858.876502323511</c:v>
                </c:pt>
                <c:pt idx="306">
                  <c:v>1859.3242845648954</c:v>
                </c:pt>
                <c:pt idx="307">
                  <c:v>1859.6736496309943</c:v>
                </c:pt>
                <c:pt idx="308">
                  <c:v>1859.9246699762939</c:v>
                </c:pt>
                <c:pt idx="309">
                  <c:v>1860.0774160131207</c:v>
                </c:pt>
                <c:pt idx="310">
                  <c:v>1860.1319566312261</c:v>
                </c:pt>
                <c:pt idx="311">
                  <c:v>1860.0883597329039</c:v>
                </c:pt>
                <c:pt idx="312">
                  <c:v>1859.9466927773403</c:v>
                </c:pt>
                <c:pt idx="313">
                  <c:v>1859.7070233272875</c:v>
                </c:pt>
                <c:pt idx="314">
                  <c:v>1859.3694195908968</c:v>
                </c:pt>
                <c:pt idx="315">
                  <c:v>1858.9339509517044</c:v>
                </c:pt>
                <c:pt idx="316">
                  <c:v>1858.4006884802816</c:v>
                </c:pt>
                <c:pt idx="317">
                  <c:v>1857.7697054219118</c:v>
                </c:pt>
                <c:pt idx="318">
                  <c:v>1857.0410776557305</c:v>
                </c:pt>
                <c:pt idx="319">
                  <c:v>1856.2148841219635</c:v>
                </c:pt>
                <c:pt idx="320">
                  <c:v>1855.2912072151128</c:v>
                </c:pt>
                <c:pt idx="321">
                  <c:v>1854.2701331420892</c:v>
                </c:pt>
                <c:pt idx="322">
                  <c:v>1853.1517522452896</c:v>
                </c:pt>
                <c:pt idx="323">
                  <c:v>1851.9361592914554</c:v>
                </c:pt>
                <c:pt idx="324">
                  <c:v>1850.6234537277785</c:v>
                </c:pt>
                <c:pt idx="325">
                  <c:v>1849.2137399071767</c:v>
                </c:pt>
                <c:pt idx="326">
                  <c:v>1847.7071272849394</c:v>
                </c:pt>
                <c:pt idx="327">
                  <c:v>1846.1037305890895</c:v>
                </c:pt>
                <c:pt idx="328">
                  <c:v>1844.4036699668316</c:v>
                </c:pt>
                <c:pt idx="329">
                  <c:v>1842.6070711094069</c:v>
                </c:pt>
                <c:pt idx="330">
                  <c:v>1840.7140653575625</c:v>
                </c:pt>
                <c:pt idx="331">
                  <c:v>1838.724789789688</c:v>
                </c:pt>
                <c:pt idx="332">
                  <c:v>1836.6393872945109</c:v>
                </c:pt>
                <c:pt idx="333">
                  <c:v>1834.4580066300575</c:v>
                </c:pt>
                <c:pt idx="334">
                  <c:v>1832.1808024704153</c:v>
                </c:pt>
                <c:pt idx="335">
                  <c:v>1829.8079354416609</c:v>
                </c:pt>
                <c:pt idx="336">
                  <c:v>1827.339572148162</c:v>
                </c:pt>
                <c:pt idx="337">
                  <c:v>1824.7758851903159</c:v>
                </c:pt>
                <c:pt idx="338">
                  <c:v>1822.1170531746593</c:v>
                </c:pt>
                <c:pt idx="339">
                  <c:v>1819.3632607171646</c:v>
                </c:pt>
                <c:pt idx="340">
                  <c:v>1816.5146984404362</c:v>
                </c:pt>
                <c:pt idx="341">
                  <c:v>1813.5715629654303</c:v>
                </c:pt>
                <c:pt idx="342">
                  <c:v>1810.5340568982417</c:v>
                </c:pt>
                <c:pt idx="343">
                  <c:v>1807.4023888124318</c:v>
                </c:pt>
                <c:pt idx="344">
                  <c:v>1804.1767732273115</c:v>
                </c:pt>
                <c:pt idx="345">
                  <c:v>1800.8574305825434</c:v>
                </c:pt>
                <c:pt idx="346">
                  <c:v>1797.4445872093788</c:v>
                </c:pt>
                <c:pt idx="347">
                  <c:v>1793.9384752988101</c:v>
                </c:pt>
                <c:pt idx="348">
                  <c:v>1790.3393328668824</c:v>
                </c:pt>
                <c:pt idx="349">
                  <c:v>1786.6474037173818</c:v>
                </c:pt>
                <c:pt idx="350">
                  <c:v>1782.8629374020923</c:v>
                </c:pt>
                <c:pt idx="351">
                  <c:v>1778.9861891787893</c:v>
                </c:pt>
                <c:pt idx="352">
                  <c:v>1775.0174199671246</c:v>
                </c:pt>
                <c:pt idx="353">
                  <c:v>1770.9568963025347</c:v>
                </c:pt>
                <c:pt idx="354">
                  <c:v>1766.804890288297</c:v>
                </c:pt>
                <c:pt idx="355">
                  <c:v>1762.5616795458432</c:v>
                </c:pt>
                <c:pt idx="356">
                  <c:v>1758.2275471634282</c:v>
                </c:pt>
                <c:pt idx="357">
                  <c:v>1753.8027816432457</c:v>
                </c:pt>
                <c:pt idx="358">
                  <c:v>1749.2876768470735</c:v>
                </c:pt>
                <c:pt idx="359">
                  <c:v>1744.6825319405252</c:v>
                </c:pt>
                <c:pt idx="360">
                  <c:v>1739.9876513359757</c:v>
                </c:pt>
                <c:pt idx="361">
                  <c:v>1735.2033446342293</c:v>
                </c:pt>
                <c:pt idx="362">
                  <c:v>1730.3299265649887</c:v>
                </c:pt>
                <c:pt idx="363">
                  <c:v>1725.3677169261816</c:v>
                </c:pt>
                <c:pt idx="364">
                  <c:v>1720.3170405222002</c:v>
                </c:pt>
                <c:pt idx="365">
                  <c:v>1715.1782271011011</c:v>
                </c:pt>
                <c:pt idx="366">
                  <c:v>1709.9516112908175</c:v>
                </c:pt>
                <c:pt idx="367">
                  <c:v>1704.6375325344245</c:v>
                </c:pt>
                <c:pt idx="368">
                  <c:v>1699.236335024505</c:v>
                </c:pt>
                <c:pt idx="369">
                  <c:v>1693.7483676366564</c:v>
                </c:pt>
                <c:pt idx="370">
                  <c:v>1688.1739838621781</c:v>
                </c:pt>
                <c:pt idx="371">
                  <c:v>1682.5135417399792</c:v>
                </c:pt>
                <c:pt idx="372">
                  <c:v>1676.7674037877441</c:v>
                </c:pt>
                <c:pt idx="373">
                  <c:v>1670.9359369323925</c:v>
                </c:pt>
                <c:pt idx="374">
                  <c:v>1665.0195124398681</c:v>
                </c:pt>
                <c:pt idx="375">
                  <c:v>1659.0185058442942</c:v>
                </c:pt>
                <c:pt idx="376">
                  <c:v>1652.9332968765252</c:v>
                </c:pt>
                <c:pt idx="377">
                  <c:v>1646.7642693921312</c:v>
                </c:pt>
                <c:pt idx="378">
                  <c:v>1640.5118112988462</c:v>
                </c:pt>
                <c:pt idx="379">
                  <c:v>1634.1763144835131</c:v>
                </c:pt>
                <c:pt idx="380">
                  <c:v>1627.7581747385559</c:v>
                </c:pt>
                <c:pt idx="381">
                  <c:v>1621.2577916880093</c:v>
                </c:pt>
                <c:pt idx="382">
                  <c:v>1614.6755687131385</c:v>
                </c:pt>
                <c:pt idx="383">
                  <c:v>1608.0119128776773</c:v>
                </c:pt>
                <c:pt idx="384">
                  <c:v>1601.267234852714</c:v>
                </c:pt>
                <c:pt idx="385">
                  <c:v>1594.441948841255</c:v>
                </c:pt>
                <c:pt idx="386">
                  <c:v>1587.5364725024954</c:v>
                </c:pt>
                <c:pt idx="387">
                  <c:v>1580.5512268758225</c:v>
                </c:pt>
                <c:pt idx="388">
                  <c:v>1573.486636304584</c:v>
                </c:pt>
                <c:pt idx="389">
                  <c:v>1566.343128359644</c:v>
                </c:pt>
                <c:pt idx="390">
                  <c:v>1559.1211337627597</c:v>
                </c:pt>
                <c:pt idx="391">
                  <c:v>1551.8210863098002</c:v>
                </c:pt>
                <c:pt idx="392">
                  <c:v>1544.443422793838</c:v>
                </c:pt>
                <c:pt idx="393">
                  <c:v>1536.9885829281377</c:v>
                </c:pt>
                <c:pt idx="394">
                  <c:v>1529.4570092690697</c:v>
                </c:pt>
                <c:pt idx="395">
                  <c:v>1521.8491471389714</c:v>
                </c:pt>
                <c:pt idx="396">
                  <c:v>1514.1654445489853</c:v>
                </c:pt>
                <c:pt idx="397">
                  <c:v>1506.4063521218961</c:v>
                </c:pt>
                <c:pt idx="398">
                  <c:v>1498.5723230149927</c:v>
                </c:pt>
                <c:pt idx="399">
                  <c:v>1490.6638128429795</c:v>
                </c:pt>
                <c:pt idx="400">
                  <c:v>1482.6812796009613</c:v>
                </c:pt>
                <c:pt idx="401">
                  <c:v>1474.6251835875237</c:v>
                </c:pt>
                <c:pt idx="402">
                  <c:v>1466.4959873279361</c:v>
                </c:pt>
                <c:pt idx="403">
                  <c:v>1458.2941554974966</c:v>
                </c:pt>
                <c:pt idx="404">
                  <c:v>1450.0201548450436</c:v>
                </c:pt>
                <c:pt idx="405">
                  <c:v>1441.6744541166561</c:v>
                </c:pt>
                <c:pt idx="406">
                  <c:v>1433.257523979564</c:v>
                </c:pt>
                <c:pt idx="407">
                  <c:v>1424.7698369462914</c:v>
                </c:pt>
                <c:pt idx="408">
                  <c:v>1416.2118672990528</c:v>
                </c:pt>
                <c:pt idx="409">
                  <c:v>1407.5840910144236</c:v>
                </c:pt>
                <c:pt idx="410">
                  <c:v>1398.8869856883068</c:v>
                </c:pt>
                <c:pt idx="411">
                  <c:v>1390.121030461213</c:v>
                </c:pt>
                <c:pt idx="412">
                  <c:v>1381.2867059438765</c:v>
                </c:pt>
                <c:pt idx="413">
                  <c:v>1372.3844941432262</c:v>
                </c:pt>
                <c:pt idx="414">
                  <c:v>1363.4148783887283</c:v>
                </c:pt>
                <c:pt idx="415">
                  <c:v>1354.3783432591226</c:v>
                </c:pt>
                <c:pt idx="416">
                  <c:v>1345.2753745095681</c:v>
                </c:pt>
                <c:pt idx="417">
                  <c:v>1336.1064589992166</c:v>
                </c:pt>
                <c:pt idx="418">
                  <c:v>1326.872084619233</c:v>
                </c:pt>
                <c:pt idx="419">
                  <c:v>1317.5727402212767</c:v>
                </c:pt>
                <c:pt idx="420">
                  <c:v>1308.2089155464632</c:v>
                </c:pt>
                <c:pt idx="421">
                  <c:v>1298.7811011548206</c:v>
                </c:pt>
                <c:pt idx="422">
                  <c:v>1289.2897883552575</c:v>
                </c:pt>
                <c:pt idx="423">
                  <c:v>1279.7354691360581</c:v>
                </c:pt>
                <c:pt idx="424">
                  <c:v>1270.1186360959177</c:v>
                </c:pt>
                <c:pt idx="425">
                  <c:v>1260.4397823755357</c:v>
                </c:pt>
                <c:pt idx="426">
                  <c:v>1250.6994015897785</c:v>
                </c:pt>
                <c:pt idx="427">
                  <c:v>1240.8979877604258</c:v>
                </c:pt>
                <c:pt idx="428">
                  <c:v>1231.0360352495161</c:v>
                </c:pt>
                <c:pt idx="429">
                  <c:v>1221.1140386933005</c:v>
                </c:pt>
                <c:pt idx="430">
                  <c:v>1211.1324929368211</c:v>
                </c:pt>
                <c:pt idx="431">
                  <c:v>1201.0918929691229</c:v>
                </c:pt>
                <c:pt idx="432">
                  <c:v>1190.9927338591137</c:v>
                </c:pt>
                <c:pt idx="433">
                  <c:v>1180.8355106920806</c:v>
                </c:pt>
                <c:pt idx="434">
                  <c:v>1170.6207185068754</c:v>
                </c:pt>
                <c:pt idx="435">
                  <c:v>1160.3488522337798</c:v>
                </c:pt>
                <c:pt idx="436">
                  <c:v>1150.0204066330589</c:v>
                </c:pt>
                <c:pt idx="437">
                  <c:v>1139.6358762342136</c:v>
                </c:pt>
                <c:pt idx="438">
                  <c:v>1129.19575527594</c:v>
                </c:pt>
                <c:pt idx="439">
                  <c:v>1118.7005376468071</c:v>
                </c:pt>
                <c:pt idx="440">
                  <c:v>1108.1507168266571</c:v>
                </c:pt>
                <c:pt idx="441">
                  <c:v>1097.5467858287409</c:v>
                </c:pt>
                <c:pt idx="442">
                  <c:v>1086.8892371425914</c:v>
                </c:pt>
                <c:pt idx="443">
                  <c:v>1076.1785626776464</c:v>
                </c:pt>
                <c:pt idx="444">
                  <c:v>1065.4152537076252</c:v>
                </c:pt>
                <c:pt idx="445">
                  <c:v>1054.5998008156648</c:v>
                </c:pt>
                <c:pt idx="446">
                  <c:v>1043.7326938402239</c:v>
                </c:pt>
                <c:pt idx="447">
                  <c:v>1032.8144218217576</c:v>
                </c:pt>
                <c:pt idx="448">
                  <c:v>1021.8454729501716</c:v>
                </c:pt>
                <c:pt idx="449">
                  <c:v>1010.8263345130558</c:v>
                </c:pt>
                <c:pt idx="450">
                  <c:v>999.75749284470635</c:v>
                </c:pt>
                <c:pt idx="451">
                  <c:v>988.63943327593756</c:v>
                </c:pt>
                <c:pt idx="452">
                  <c:v>977.47264008468778</c:v>
                </c:pt>
                <c:pt idx="453">
                  <c:v>966.25759644742368</c:v>
                </c:pt>
                <c:pt idx="454">
                  <c:v>954.99478439134407</c:v>
                </c:pt>
                <c:pt idx="455">
                  <c:v>943.68468474738756</c:v>
                </c:pt>
                <c:pt idx="456">
                  <c:v>932.32777710404548</c:v>
                </c:pt>
                <c:pt idx="457">
                  <c:v>920.9245397619818</c:v>
                </c:pt>
                <c:pt idx="458">
                  <c:v>909.47544968946227</c:v>
                </c:pt>
                <c:pt idx="459">
                  <c:v>897.98098247859355</c:v>
                </c:pt>
                <c:pt idx="460">
                  <c:v>886.4416123023733</c:v>
                </c:pt>
                <c:pt idx="461">
                  <c:v>874.85781187255202</c:v>
                </c:pt>
                <c:pt idx="462">
                  <c:v>863.23005239830673</c:v>
                </c:pt>
                <c:pt idx="463">
                  <c:v>851.55880354572628</c:v>
                </c:pt>
                <c:pt idx="464">
                  <c:v>839.84453339810875</c:v>
                </c:pt>
                <c:pt idx="465">
                  <c:v>828.08770841706894</c:v>
                </c:pt>
                <c:pt idx="466">
                  <c:v>816.2887934044561</c:v>
                </c:pt>
                <c:pt idx="467">
                  <c:v>804.44825146508026</c:v>
                </c:pt>
                <c:pt idx="468">
                  <c:v>792.56654397024568</c:v>
                </c:pt>
                <c:pt idx="469">
                  <c:v>780.64413052208988</c:v>
                </c:pt>
                <c:pt idx="470">
                  <c:v>768.68146891872516</c:v>
                </c:pt>
                <c:pt idx="471">
                  <c:v>756.67901512018193</c:v>
                </c:pt>
                <c:pt idx="472">
                  <c:v>744.63722321514979</c:v>
                </c:pt>
                <c:pt idx="473">
                  <c:v>732.556545388514</c:v>
                </c:pt>
                <c:pt idx="474">
                  <c:v>720.4374318896846</c:v>
                </c:pt>
                <c:pt idx="475">
                  <c:v>708.28033100171456</c:v>
                </c:pt>
                <c:pt idx="476">
                  <c:v>696.08568901120293</c:v>
                </c:pt>
                <c:pt idx="477">
                  <c:v>683.85395017897997</c:v>
                </c:pt>
                <c:pt idx="478">
                  <c:v>671.58555671156978</c:v>
                </c:pt>
                <c:pt idx="479">
                  <c:v>659.28094873342627</c:v>
                </c:pt>
                <c:pt idx="480">
                  <c:v>646.94056425993801</c:v>
                </c:pt>
                <c:pt idx="481">
                  <c:v>634.56483917119704</c:v>
                </c:pt>
                <c:pt idx="482">
                  <c:v>622.15420718652763</c:v>
                </c:pt>
                <c:pt idx="483">
                  <c:v>609.70909983976878</c:v>
                </c:pt>
                <c:pt idx="484">
                  <c:v>597.22994645530594</c:v>
                </c:pt>
                <c:pt idx="485">
                  <c:v>584.71717412484657</c:v>
                </c:pt>
                <c:pt idx="486">
                  <c:v>572.17120768493362</c:v>
                </c:pt>
                <c:pt idx="487">
                  <c:v>559.59246969519131</c:v>
                </c:pt>
                <c:pt idx="488">
                  <c:v>546.98138041729726</c:v>
                </c:pt>
                <c:pt idx="489">
                  <c:v>534.33835779467495</c:v>
                </c:pt>
                <c:pt idx="490">
                  <c:v>521.66381743290049</c:v>
                </c:pt>
                <c:pt idx="491">
                  <c:v>508.95817258081655</c:v>
                </c:pt>
                <c:pt idx="492">
                  <c:v>496.22183411234835</c:v>
                </c:pt>
                <c:pt idx="493">
                  <c:v>483.45521050901328</c:v>
                </c:pt>
                <c:pt idx="494">
                  <c:v>470.65870784311909</c:v>
                </c:pt>
                <c:pt idx="495">
                  <c:v>457.83272976164261</c:v>
                </c:pt>
                <c:pt idx="496">
                  <c:v>444.97767747078251</c:v>
                </c:pt>
                <c:pt idx="497">
                  <c:v>432.09394972117883</c:v>
                </c:pt>
                <c:pt idx="498">
                  <c:v>419.18194279379236</c:v>
                </c:pt>
                <c:pt idx="499">
                  <c:v>406.24205048643597</c:v>
                </c:pt>
                <c:pt idx="500">
                  <c:v>393.27466410095116</c:v>
                </c:pt>
                <c:pt idx="501">
                  <c:v>380.28017243102175</c:v>
                </c:pt>
                <c:pt idx="502">
                  <c:v>367.2589617506178</c:v>
                </c:pt>
                <c:pt idx="503">
                  <c:v>354.2114158030613</c:v>
                </c:pt>
                <c:pt idx="504">
                  <c:v>341.13791579070664</c:v>
                </c:pt>
                <c:pt idx="505">
                  <c:v>328.03884036522766</c:v>
                </c:pt>
                <c:pt idx="506">
                  <c:v>314.91456561850367</c:v>
                </c:pt>
                <c:pt idx="507">
                  <c:v>301.76546507409626</c:v>
                </c:pt>
                <c:pt idx="508">
                  <c:v>288.5919096793092</c:v>
                </c:pt>
                <c:pt idx="509">
                  <c:v>275.3942677978232</c:v>
                </c:pt>
                <c:pt idx="510">
                  <c:v>262.17290520289799</c:v>
                </c:pt>
                <c:pt idx="511">
                  <c:v>248.92818507113265</c:v>
                </c:pt>
                <c:pt idx="512">
                  <c:v>235.66046797677723</c:v>
                </c:pt>
                <c:pt idx="513">
                  <c:v>222.37011188658673</c:v>
                </c:pt>
                <c:pt idx="514">
                  <c:v>209.05747215520947</c:v>
                </c:pt>
                <c:pt idx="515">
                  <c:v>195.72290152110168</c:v>
                </c:pt>
                <c:pt idx="516">
                  <c:v>182.36675010296022</c:v>
                </c:pt>
                <c:pt idx="517">
                  <c:v>168.98936539666505</c:v>
                </c:pt>
                <c:pt idx="518">
                  <c:v>155.59109227272305</c:v>
                </c:pt>
                <c:pt idx="519">
                  <c:v>142.1722729742055</c:v>
                </c:pt>
                <c:pt idx="520">
                  <c:v>128.73324711517037</c:v>
                </c:pt>
                <c:pt idx="521">
                  <c:v>115.27435167956151</c:v>
                </c:pt>
                <c:pt idx="522">
                  <c:v>101.79592102057647</c:v>
                </c:pt>
                <c:pt idx="523">
                  <c:v>88.298286860494756</c:v>
                </c:pt>
                <c:pt idx="524">
                  <c:v>74.781778290958073</c:v>
                </c:pt>
                <c:pt idx="525">
                  <c:v>61.246721773694752</c:v>
                </c:pt>
                <c:pt idx="526">
                  <c:v>47.693441141679791</c:v>
                </c:pt>
                <c:pt idx="527">
                  <c:v>34.122257600722669</c:v>
                </c:pt>
                <c:pt idx="528">
                  <c:v>20.533489731474582</c:v>
                </c:pt>
                <c:pt idx="529">
                  <c:v>6.9274534918471407</c:v>
                </c:pt>
                <c:pt idx="530">
                  <c:v>-6.6955377801656066</c:v>
                </c:pt>
                <c:pt idx="531">
                  <c:v>-6.7091691791914165</c:v>
                </c:pt>
                <c:pt idx="532">
                  <c:v>-6.7228005947066771</c:v>
                </c:pt>
                <c:pt idx="533">
                  <c:v>-6.7364320267110829</c:v>
                </c:pt>
                <c:pt idx="534">
                  <c:v>-6.7500634752043274</c:v>
                </c:pt>
                <c:pt idx="535">
                  <c:v>-6.7636949401861042</c:v>
                </c:pt>
                <c:pt idx="536">
                  <c:v>-6.7773264216561069</c:v>
                </c:pt>
                <c:pt idx="537">
                  <c:v>-6.7909579196140291</c:v>
                </c:pt>
                <c:pt idx="538">
                  <c:v>-6.8045894340595652</c:v>
                </c:pt>
                <c:pt idx="539">
                  <c:v>-6.8182209649924079</c:v>
                </c:pt>
                <c:pt idx="540">
                  <c:v>-6.8318525124122518</c:v>
                </c:pt>
                <c:pt idx="541">
                  <c:v>-6.8454840763187903</c:v>
                </c:pt>
                <c:pt idx="542">
                  <c:v>-6.8591156567117171</c:v>
                </c:pt>
                <c:pt idx="543">
                  <c:v>-6.8727472535907266</c:v>
                </c:pt>
                <c:pt idx="544">
                  <c:v>-6.8863788669555124</c:v>
                </c:pt>
                <c:pt idx="545">
                  <c:v>-6.9000104968057681</c:v>
                </c:pt>
                <c:pt idx="546">
                  <c:v>-6.9136421431411872</c:v>
                </c:pt>
                <c:pt idx="547">
                  <c:v>-6.9272738059614634</c:v>
                </c:pt>
                <c:pt idx="548">
                  <c:v>-6.940905485266291</c:v>
                </c:pt>
                <c:pt idx="549">
                  <c:v>-6.9545371810553629</c:v>
                </c:pt>
                <c:pt idx="550">
                  <c:v>-6.9681688933283734</c:v>
                </c:pt>
                <c:pt idx="551">
                  <c:v>-6.9818006220850171</c:v>
                </c:pt>
                <c:pt idx="552">
                  <c:v>-6.9954323673249865</c:v>
                </c:pt>
                <c:pt idx="553">
                  <c:v>-7.0090641290479763</c:v>
                </c:pt>
                <c:pt idx="554">
                  <c:v>-7.0226959072536799</c:v>
                </c:pt>
                <c:pt idx="555">
                  <c:v>-7.0363277019417909</c:v>
                </c:pt>
                <c:pt idx="556">
                  <c:v>-7.049959513112003</c:v>
                </c:pt>
                <c:pt idx="557">
                  <c:v>-7.0635913407640105</c:v>
                </c:pt>
                <c:pt idx="558">
                  <c:v>-7.0772231848975071</c:v>
                </c:pt>
                <c:pt idx="559">
                  <c:v>-7.0908550455121864</c:v>
                </c:pt>
                <c:pt idx="560">
                  <c:v>-7.1044869226077418</c:v>
                </c:pt>
                <c:pt idx="561">
                  <c:v>-7.118118816183868</c:v>
                </c:pt>
                <c:pt idx="562">
                  <c:v>-7.1317507262402584</c:v>
                </c:pt>
                <c:pt idx="563">
                  <c:v>-7.1453826527766067</c:v>
                </c:pt>
                <c:pt idx="564">
                  <c:v>-7.1590145957926064</c:v>
                </c:pt>
                <c:pt idx="565">
                  <c:v>-7.1726465552879519</c:v>
                </c:pt>
                <c:pt idx="566">
                  <c:v>-7.186278531262337</c:v>
                </c:pt>
                <c:pt idx="567">
                  <c:v>-7.199910523715455</c:v>
                </c:pt>
                <c:pt idx="568">
                  <c:v>-7.2135425326470006</c:v>
                </c:pt>
                <c:pt idx="569">
                  <c:v>-7.2271745580566664</c:v>
                </c:pt>
                <c:pt idx="570">
                  <c:v>-7.2408065999441469</c:v>
                </c:pt>
                <c:pt idx="571">
                  <c:v>-7.2544386583091365</c:v>
                </c:pt>
                <c:pt idx="572">
                  <c:v>-7.2680707331513279</c:v>
                </c:pt>
                <c:pt idx="573">
                  <c:v>-7.2817028244704156</c:v>
                </c:pt>
                <c:pt idx="574">
                  <c:v>-7.2953349322660941</c:v>
                </c:pt>
                <c:pt idx="575">
                  <c:v>-7.308967056538056</c:v>
                </c:pt>
                <c:pt idx="576">
                  <c:v>-7.3225991972859958</c:v>
                </c:pt>
                <c:pt idx="577">
                  <c:v>-7.3362313545096072</c:v>
                </c:pt>
                <c:pt idx="578">
                  <c:v>-7.3498635282085836</c:v>
                </c:pt>
                <c:pt idx="579">
                  <c:v>-7.3634957183826195</c:v>
                </c:pt>
                <c:pt idx="580">
                  <c:v>-7.3771279250314086</c:v>
                </c:pt>
                <c:pt idx="581">
                  <c:v>-7.3907601481546452</c:v>
                </c:pt>
                <c:pt idx="582">
                  <c:v>-7.4043923877520221</c:v>
                </c:pt>
                <c:pt idx="583">
                  <c:v>-7.4180246438232338</c:v>
                </c:pt>
                <c:pt idx="584">
                  <c:v>-7.4316569163679747</c:v>
                </c:pt>
                <c:pt idx="585">
                  <c:v>-7.4452892053859374</c:v>
                </c:pt>
                <c:pt idx="586">
                  <c:v>-7.4589215108768165</c:v>
                </c:pt>
                <c:pt idx="587">
                  <c:v>-7.4725538328403065</c:v>
                </c:pt>
                <c:pt idx="588">
                  <c:v>-7.4861861712761</c:v>
                </c:pt>
                <c:pt idx="589">
                  <c:v>-7.4998185261838914</c:v>
                </c:pt>
                <c:pt idx="590">
                  <c:v>-7.5134508975633745</c:v>
                </c:pt>
                <c:pt idx="591">
                  <c:v>-7.5270832854142435</c:v>
                </c:pt>
                <c:pt idx="592">
                  <c:v>-7.5407156897361922</c:v>
                </c:pt>
                <c:pt idx="593">
                  <c:v>-7.5543481105289141</c:v>
                </c:pt>
                <c:pt idx="594">
                  <c:v>-7.5679805477921036</c:v>
                </c:pt>
                <c:pt idx="595">
                  <c:v>-7.5816130015254544</c:v>
                </c:pt>
                <c:pt idx="596">
                  <c:v>-7.5952454717286608</c:v>
                </c:pt>
                <c:pt idx="597">
                  <c:v>-7.6088779584014157</c:v>
                </c:pt>
                <c:pt idx="598">
                  <c:v>-7.6225104615434143</c:v>
                </c:pt>
                <c:pt idx="599">
                  <c:v>-7.6361429811543493</c:v>
                </c:pt>
                <c:pt idx="600">
                  <c:v>-7.6497755172339152</c:v>
                </c:pt>
                <c:pt idx="601">
                  <c:v>-7.6634080697818057</c:v>
                </c:pt>
                <c:pt idx="602">
                  <c:v>-7.677040638797715</c:v>
                </c:pt>
                <c:pt idx="603">
                  <c:v>-7.6906732242813369</c:v>
                </c:pt>
                <c:pt idx="604">
                  <c:v>-7.7043058262323649</c:v>
                </c:pt>
                <c:pt idx="605">
                  <c:v>-7.7179384446504935</c:v>
                </c:pt>
                <c:pt idx="606">
                  <c:v>-7.7315710795354162</c:v>
                </c:pt>
                <c:pt idx="607">
                  <c:v>-7.7452037308868276</c:v>
                </c:pt>
                <c:pt idx="608">
                  <c:v>-7.7588363987044202</c:v>
                </c:pt>
                <c:pt idx="609">
                  <c:v>-7.7724690829878895</c:v>
                </c:pt>
                <c:pt idx="610">
                  <c:v>-7.7861017837369291</c:v>
                </c:pt>
                <c:pt idx="611">
                  <c:v>-7.7997345009512324</c:v>
                </c:pt>
                <c:pt idx="612">
                  <c:v>-7.8133672346304932</c:v>
                </c:pt>
                <c:pt idx="613">
                  <c:v>-7.8269999847744058</c:v>
                </c:pt>
                <c:pt idx="614">
                  <c:v>-7.8406327513826639</c:v>
                </c:pt>
                <c:pt idx="615">
                  <c:v>-7.8542655344549619</c:v>
                </c:pt>
                <c:pt idx="616">
                  <c:v>-7.8678983339909934</c:v>
                </c:pt>
                <c:pt idx="617">
                  <c:v>-7.8815311499904528</c:v>
                </c:pt>
                <c:pt idx="618">
                  <c:v>-7.8951639824530337</c:v>
                </c:pt>
                <c:pt idx="619">
                  <c:v>-7.9087968313784298</c:v>
                </c:pt>
                <c:pt idx="620">
                  <c:v>-7.9224296967663355</c:v>
                </c:pt>
                <c:pt idx="621">
                  <c:v>-7.9360625786164452</c:v>
                </c:pt>
                <c:pt idx="622">
                  <c:v>-7.9496954769284516</c:v>
                </c:pt>
                <c:pt idx="623">
                  <c:v>-7.9633283917020492</c:v>
                </c:pt>
                <c:pt idx="624">
                  <c:v>-7.9769613229369325</c:v>
                </c:pt>
                <c:pt idx="625">
                  <c:v>-7.990594270632795</c:v>
                </c:pt>
                <c:pt idx="626">
                  <c:v>-8.0042272347893313</c:v>
                </c:pt>
                <c:pt idx="627">
                  <c:v>-8.0178602154062339</c:v>
                </c:pt>
                <c:pt idx="628">
                  <c:v>-8.0314932124831984</c:v>
                </c:pt>
                <c:pt idx="629">
                  <c:v>-8.0451262260199172</c:v>
                </c:pt>
                <c:pt idx="630">
                  <c:v>-8.058759256016085</c:v>
                </c:pt>
                <c:pt idx="631">
                  <c:v>-8.0723923024713962</c:v>
                </c:pt>
                <c:pt idx="632">
                  <c:v>-8.0860253653855452</c:v>
                </c:pt>
                <c:pt idx="633">
                  <c:v>-8.0996584447582247</c:v>
                </c:pt>
                <c:pt idx="634">
                  <c:v>-8.1132915405891293</c:v>
                </c:pt>
                <c:pt idx="635">
                  <c:v>-8.1269246528779533</c:v>
                </c:pt>
                <c:pt idx="636">
                  <c:v>-8.1405577816243913</c:v>
                </c:pt>
                <c:pt idx="637">
                  <c:v>-8.1541909268281358</c:v>
                </c:pt>
                <c:pt idx="638">
                  <c:v>-8.1678240884888815</c:v>
                </c:pt>
                <c:pt idx="639">
                  <c:v>-8.1814572666063228</c:v>
                </c:pt>
                <c:pt idx="640">
                  <c:v>-8.1950904611801523</c:v>
                </c:pt>
                <c:pt idx="641">
                  <c:v>-8.2087236722100663</c:v>
                </c:pt>
                <c:pt idx="642">
                  <c:v>-8.2223568996957574</c:v>
                </c:pt>
                <c:pt idx="643">
                  <c:v>-8.2359901436369185</c:v>
                </c:pt>
                <c:pt idx="644">
                  <c:v>-8.2496234040332457</c:v>
                </c:pt>
                <c:pt idx="645">
                  <c:v>-8.2632566808844317</c:v>
                </c:pt>
                <c:pt idx="646">
                  <c:v>-8.2768899741901709</c:v>
                </c:pt>
                <c:pt idx="647">
                  <c:v>-8.2905232839501579</c:v>
                </c:pt>
                <c:pt idx="648">
                  <c:v>-8.3041566101640854</c:v>
                </c:pt>
                <c:pt idx="649">
                  <c:v>-8.3177899528316495</c:v>
                </c:pt>
                <c:pt idx="650">
                  <c:v>-8.3314233119525429</c:v>
                </c:pt>
                <c:pt idx="651">
                  <c:v>-8.3450566875264585</c:v>
                </c:pt>
                <c:pt idx="652">
                  <c:v>-8.3586900795530923</c:v>
                </c:pt>
                <c:pt idx="653">
                  <c:v>-8.3723234880321371</c:v>
                </c:pt>
                <c:pt idx="654">
                  <c:v>-8.3859569129632874</c:v>
                </c:pt>
                <c:pt idx="655">
                  <c:v>-8.3995903543462376</c:v>
                </c:pt>
                <c:pt idx="656">
                  <c:v>-8.4132238121806822</c:v>
                </c:pt>
                <c:pt idx="657">
                  <c:v>-8.4268572864663138</c:v>
                </c:pt>
                <c:pt idx="658">
                  <c:v>-8.440490777202827</c:v>
                </c:pt>
                <c:pt idx="659">
                  <c:v>-8.4541242843899163</c:v>
                </c:pt>
                <c:pt idx="660">
                  <c:v>-8.467757808027276</c:v>
                </c:pt>
                <c:pt idx="661">
                  <c:v>-8.4813913481145988</c:v>
                </c:pt>
                <c:pt idx="662">
                  <c:v>-8.4950249046515793</c:v>
                </c:pt>
                <c:pt idx="663">
                  <c:v>-8.5086584776379119</c:v>
                </c:pt>
                <c:pt idx="664">
                  <c:v>-8.5222920670732911</c:v>
                </c:pt>
                <c:pt idx="665">
                  <c:v>-8.5359256729574113</c:v>
                </c:pt>
                <c:pt idx="666">
                  <c:v>-8.5495592952899653</c:v>
                </c:pt>
                <c:pt idx="667">
                  <c:v>-8.5631929340706474</c:v>
                </c:pt>
                <c:pt idx="668">
                  <c:v>-8.5768265892991522</c:v>
                </c:pt>
                <c:pt idx="669">
                  <c:v>-8.5904602609751741</c:v>
                </c:pt>
                <c:pt idx="670">
                  <c:v>-8.6040939490984059</c:v>
                </c:pt>
                <c:pt idx="671">
                  <c:v>-8.6177276536685419</c:v>
                </c:pt>
                <c:pt idx="672">
                  <c:v>-8.6313613746852766</c:v>
                </c:pt>
                <c:pt idx="673">
                  <c:v>-8.6449951121483046</c:v>
                </c:pt>
                <c:pt idx="674">
                  <c:v>-8.6586288660573203</c:v>
                </c:pt>
                <c:pt idx="675">
                  <c:v>-8.6722626364120163</c:v>
                </c:pt>
                <c:pt idx="676">
                  <c:v>-8.6858964232120872</c:v>
                </c:pt>
                <c:pt idx="677">
                  <c:v>-8.6995302264572274</c:v>
                </c:pt>
                <c:pt idx="678">
                  <c:v>-8.7131640461471314</c:v>
                </c:pt>
                <c:pt idx="679">
                  <c:v>-8.7267978822814936</c:v>
                </c:pt>
                <c:pt idx="680">
                  <c:v>-8.7404317348600067</c:v>
                </c:pt>
                <c:pt idx="681">
                  <c:v>-8.7540656038823652</c:v>
                </c:pt>
                <c:pt idx="682">
                  <c:v>-8.7676994893482636</c:v>
                </c:pt>
                <c:pt idx="683">
                  <c:v>-8.7813333912573963</c:v>
                </c:pt>
                <c:pt idx="684">
                  <c:v>-8.7949673096094578</c:v>
                </c:pt>
                <c:pt idx="685">
                  <c:v>-8.8086012444041408</c:v>
                </c:pt>
                <c:pt idx="686">
                  <c:v>-8.8222351956411416</c:v>
                </c:pt>
                <c:pt idx="687">
                  <c:v>-8.8358691633201527</c:v>
                </c:pt>
                <c:pt idx="688">
                  <c:v>-8.849503147440867</c:v>
                </c:pt>
                <c:pt idx="689">
                  <c:v>-8.8631371480029806</c:v>
                </c:pt>
                <c:pt idx="690">
                  <c:v>-8.876771165006188</c:v>
                </c:pt>
                <c:pt idx="691">
                  <c:v>-8.890405198450182</c:v>
                </c:pt>
                <c:pt idx="692">
                  <c:v>-8.9040392483346569</c:v>
                </c:pt>
                <c:pt idx="693">
                  <c:v>-8.9176733146593072</c:v>
                </c:pt>
                <c:pt idx="694">
                  <c:v>-8.9313073974238275</c:v>
                </c:pt>
                <c:pt idx="695">
                  <c:v>-8.9449414966279104</c:v>
                </c:pt>
                <c:pt idx="696">
                  <c:v>-8.9585756122712521</c:v>
                </c:pt>
                <c:pt idx="697">
                  <c:v>-8.9722097443535453</c:v>
                </c:pt>
                <c:pt idx="698">
                  <c:v>-8.9858438928744846</c:v>
                </c:pt>
                <c:pt idx="699">
                  <c:v>-8.9994780578337643</c:v>
                </c:pt>
                <c:pt idx="700">
                  <c:v>-9.013112239231079</c:v>
                </c:pt>
                <c:pt idx="701">
                  <c:v>-9.0267464370661212</c:v>
                </c:pt>
                <c:pt idx="702">
                  <c:v>-9.0403806513385874</c:v>
                </c:pt>
                <c:pt idx="703">
                  <c:v>-9.0540148820481701</c:v>
                </c:pt>
                <c:pt idx="704">
                  <c:v>-9.0676491291945638</c:v>
                </c:pt>
                <c:pt idx="705">
                  <c:v>-9.081283392777463</c:v>
                </c:pt>
                <c:pt idx="706">
                  <c:v>-9.0949176727965622</c:v>
                </c:pt>
                <c:pt idx="707">
                  <c:v>-9.108551969251554</c:v>
                </c:pt>
                <c:pt idx="708">
                  <c:v>-9.1221862821421347</c:v>
                </c:pt>
                <c:pt idx="709">
                  <c:v>-9.135820611467997</c:v>
                </c:pt>
                <c:pt idx="710">
                  <c:v>-9.1494549572288353</c:v>
                </c:pt>
                <c:pt idx="711">
                  <c:v>-9.1630893194243441</c:v>
                </c:pt>
                <c:pt idx="712">
                  <c:v>-9.1767236980542179</c:v>
                </c:pt>
                <c:pt idx="713">
                  <c:v>-9.1903580931181494</c:v>
                </c:pt>
                <c:pt idx="714">
                  <c:v>-9.2039925046158348</c:v>
                </c:pt>
                <c:pt idx="715">
                  <c:v>-9.2176269325469669</c:v>
                </c:pt>
                <c:pt idx="716">
                  <c:v>-9.2312613769112399</c:v>
                </c:pt>
                <c:pt idx="717">
                  <c:v>-9.2448958377083486</c:v>
                </c:pt>
                <c:pt idx="718">
                  <c:v>-9.2585303149379872</c:v>
                </c:pt>
                <c:pt idx="719">
                  <c:v>-9.2721648085998503</c:v>
                </c:pt>
                <c:pt idx="720">
                  <c:v>-9.2857993186936323</c:v>
                </c:pt>
                <c:pt idx="721">
                  <c:v>-9.2994338452190259</c:v>
                </c:pt>
                <c:pt idx="722">
                  <c:v>-9.3130683881757275</c:v>
                </c:pt>
                <c:pt idx="723">
                  <c:v>-9.3267029475634295</c:v>
                </c:pt>
                <c:pt idx="724">
                  <c:v>-9.3403375233818267</c:v>
                </c:pt>
                <c:pt idx="725">
                  <c:v>-9.3539721156306133</c:v>
                </c:pt>
                <c:pt idx="726">
                  <c:v>-9.3676067243094838</c:v>
                </c:pt>
                <c:pt idx="727">
                  <c:v>-9.381241349418131</c:v>
                </c:pt>
                <c:pt idx="728">
                  <c:v>-9.3948759909562511</c:v>
                </c:pt>
                <c:pt idx="729">
                  <c:v>-9.4085106489235368</c:v>
                </c:pt>
                <c:pt idx="730">
                  <c:v>-9.4221453233196844</c:v>
                </c:pt>
                <c:pt idx="731">
                  <c:v>-9.4357800141443864</c:v>
                </c:pt>
                <c:pt idx="732">
                  <c:v>-9.4494147213973374</c:v>
                </c:pt>
                <c:pt idx="733">
                  <c:v>-9.4630494450782319</c:v>
                </c:pt>
                <c:pt idx="734">
                  <c:v>-9.4766841851867643</c:v>
                </c:pt>
                <c:pt idx="735">
                  <c:v>-9.4903189417226272</c:v>
                </c:pt>
                <c:pt idx="736">
                  <c:v>-9.5039537146855171</c:v>
                </c:pt>
                <c:pt idx="737">
                  <c:v>-9.5175885040751265</c:v>
                </c:pt>
                <c:pt idx="738">
                  <c:v>-9.5312233098911516</c:v>
                </c:pt>
                <c:pt idx="739">
                  <c:v>-9.5448581321332853</c:v>
                </c:pt>
                <c:pt idx="740">
                  <c:v>-9.5584929708012218</c:v>
                </c:pt>
                <c:pt idx="741">
                  <c:v>-9.5721278258946558</c:v>
                </c:pt>
                <c:pt idx="742">
                  <c:v>-9.5857626974132817</c:v>
                </c:pt>
                <c:pt idx="743">
                  <c:v>-9.5993975853567939</c:v>
                </c:pt>
                <c:pt idx="744">
                  <c:v>-9.6130324897248851</c:v>
                </c:pt>
                <c:pt idx="745">
                  <c:v>-9.6266674105172516</c:v>
                </c:pt>
                <c:pt idx="746">
                  <c:v>-9.6403023477335861</c:v>
                </c:pt>
                <c:pt idx="747">
                  <c:v>-9.6539373013735847</c:v>
                </c:pt>
                <c:pt idx="748">
                  <c:v>-9.6675722714369403</c:v>
                </c:pt>
                <c:pt idx="749">
                  <c:v>-9.6812072579233472</c:v>
                </c:pt>
                <c:pt idx="750">
                  <c:v>-9.6948422608325</c:v>
                </c:pt>
                <c:pt idx="751">
                  <c:v>-9.7084772801640931</c:v>
                </c:pt>
                <c:pt idx="752">
                  <c:v>-9.7221123159178209</c:v>
                </c:pt>
                <c:pt idx="753">
                  <c:v>-9.7357473680933779</c:v>
                </c:pt>
                <c:pt idx="754">
                  <c:v>-9.7493824366904587</c:v>
                </c:pt>
                <c:pt idx="755">
                  <c:v>-9.7630175217087558</c:v>
                </c:pt>
                <c:pt idx="756">
                  <c:v>-9.7766526231479656</c:v>
                </c:pt>
                <c:pt idx="757">
                  <c:v>-9.7902877410077807</c:v>
                </c:pt>
                <c:pt idx="758">
                  <c:v>-9.8039228752878973</c:v>
                </c:pt>
                <c:pt idx="759">
                  <c:v>-9.8175580259880082</c:v>
                </c:pt>
                <c:pt idx="760">
                  <c:v>-9.8311931931078078</c:v>
                </c:pt>
                <c:pt idx="761">
                  <c:v>-9.8448283766469906</c:v>
                </c:pt>
                <c:pt idx="762">
                  <c:v>-9.8584635766052511</c:v>
                </c:pt>
                <c:pt idx="763">
                  <c:v>-9.8720987929822837</c:v>
                </c:pt>
                <c:pt idx="764">
                  <c:v>-9.8857340257777828</c:v>
                </c:pt>
                <c:pt idx="765">
                  <c:v>-9.899369274991443</c:v>
                </c:pt>
                <c:pt idx="766">
                  <c:v>-9.9130045406229588</c:v>
                </c:pt>
                <c:pt idx="767">
                  <c:v>-9.9266398226720227</c:v>
                </c:pt>
                <c:pt idx="768">
                  <c:v>-9.9402751211383311</c:v>
                </c:pt>
                <c:pt idx="769">
                  <c:v>-9.9539104360215767</c:v>
                </c:pt>
                <c:pt idx="770">
                  <c:v>-9.9675457673214556</c:v>
                </c:pt>
                <c:pt idx="771">
                  <c:v>-9.9811811150376606</c:v>
                </c:pt>
                <c:pt idx="772">
                  <c:v>-9.9948164791698861</c:v>
                </c:pt>
                <c:pt idx="773">
                  <c:v>-10.008451859717828</c:v>
                </c:pt>
                <c:pt idx="774">
                  <c:v>-10.02208725668118</c:v>
                </c:pt>
                <c:pt idx="775">
                  <c:v>-10.035722670059636</c:v>
                </c:pt>
                <c:pt idx="776">
                  <c:v>-10.04935809985289</c:v>
                </c:pt>
                <c:pt idx="777">
                  <c:v>-10.062993546060637</c:v>
                </c:pt>
                <c:pt idx="778">
                  <c:v>-10.076629008682572</c:v>
                </c:pt>
                <c:pt idx="779">
                  <c:v>-10.090264487718388</c:v>
                </c:pt>
                <c:pt idx="780">
                  <c:v>-10.10389998316778</c:v>
                </c:pt>
                <c:pt idx="781">
                  <c:v>-10.117535495030442</c:v>
                </c:pt>
                <c:pt idx="782">
                  <c:v>-10.131171023306068</c:v>
                </c:pt>
                <c:pt idx="783">
                  <c:v>-10.144806567994355</c:v>
                </c:pt>
                <c:pt idx="784">
                  <c:v>-10.158442129094993</c:v>
                </c:pt>
                <c:pt idx="785">
                  <c:v>-10.172077706607681</c:v>
                </c:pt>
                <c:pt idx="786">
                  <c:v>-10.185713300532111</c:v>
                </c:pt>
                <c:pt idx="787">
                  <c:v>-10.199348910867977</c:v>
                </c:pt>
                <c:pt idx="788">
                  <c:v>-10.212984537614975</c:v>
                </c:pt>
                <c:pt idx="789">
                  <c:v>-10.226620180772798</c:v>
                </c:pt>
                <c:pt idx="790">
                  <c:v>-10.24025584034114</c:v>
                </c:pt>
                <c:pt idx="791">
                  <c:v>-10.253891516319698</c:v>
                </c:pt>
                <c:pt idx="792">
                  <c:v>-10.267527208708163</c:v>
                </c:pt>
                <c:pt idx="793">
                  <c:v>-10.281162917506231</c:v>
                </c:pt>
                <c:pt idx="794">
                  <c:v>-10.294798642713596</c:v>
                </c:pt>
                <c:pt idx="795">
                  <c:v>-10.308434384329955</c:v>
                </c:pt>
                <c:pt idx="796">
                  <c:v>-10.322070142354999</c:v>
                </c:pt>
                <c:pt idx="797">
                  <c:v>-10.335705916788424</c:v>
                </c:pt>
                <c:pt idx="798">
                  <c:v>-10.349341707629923</c:v>
                </c:pt>
                <c:pt idx="799">
                  <c:v>-10.362977514879192</c:v>
                </c:pt>
                <c:pt idx="800">
                  <c:v>-10.376613338535925</c:v>
                </c:pt>
                <c:pt idx="801">
                  <c:v>-10.390249178599817</c:v>
                </c:pt>
                <c:pt idx="802">
                  <c:v>-10.403885035070561</c:v>
                </c:pt>
                <c:pt idx="803">
                  <c:v>-10.417520907947852</c:v>
                </c:pt>
                <c:pt idx="804">
                  <c:v>-10.431156797231385</c:v>
                </c:pt>
                <c:pt idx="805">
                  <c:v>-10.444792702920854</c:v>
                </c:pt>
                <c:pt idx="806">
                  <c:v>-10.458428625015953</c:v>
                </c:pt>
                <c:pt idx="807">
                  <c:v>-10.472064563516378</c:v>
                </c:pt>
                <c:pt idx="808">
                  <c:v>-10.485700518421822</c:v>
                </c:pt>
                <c:pt idx="809">
                  <c:v>-10.499336489731981</c:v>
                </c:pt>
                <c:pt idx="810">
                  <c:v>-10.512972477446548</c:v>
                </c:pt>
                <c:pt idx="811">
                  <c:v>-10.526608481565217</c:v>
                </c:pt>
                <c:pt idx="812">
                  <c:v>-10.540244502087685</c:v>
                </c:pt>
                <c:pt idx="813">
                  <c:v>-10.553880539013644</c:v>
                </c:pt>
                <c:pt idx="814">
                  <c:v>-10.567516592342788</c:v>
                </c:pt>
                <c:pt idx="815">
                  <c:v>-10.581152662074812</c:v>
                </c:pt>
                <c:pt idx="816">
                  <c:v>-10.594788748209412</c:v>
                </c:pt>
                <c:pt idx="817">
                  <c:v>-10.608424850746282</c:v>
                </c:pt>
                <c:pt idx="818">
                  <c:v>-10.622060969685116</c:v>
                </c:pt>
                <c:pt idx="819">
                  <c:v>-10.635697105025608</c:v>
                </c:pt>
                <c:pt idx="820">
                  <c:v>-10.649333256767454</c:v>
                </c:pt>
                <c:pt idx="821">
                  <c:v>-10.662969424910347</c:v>
                </c:pt>
                <c:pt idx="822">
                  <c:v>-10.676605609453981</c:v>
                </c:pt>
                <c:pt idx="823">
                  <c:v>-10.690241810398051</c:v>
                </c:pt>
                <c:pt idx="824">
                  <c:v>-10.703878027742252</c:v>
                </c:pt>
                <c:pt idx="825">
                  <c:v>-10.717514261486279</c:v>
                </c:pt>
                <c:pt idx="826">
                  <c:v>-10.731150511629826</c:v>
                </c:pt>
                <c:pt idx="827">
                  <c:v>-10.744786778172587</c:v>
                </c:pt>
                <c:pt idx="828">
                  <c:v>-10.758423061114257</c:v>
                </c:pt>
                <c:pt idx="829">
                  <c:v>-10.772059360454531</c:v>
                </c:pt>
                <c:pt idx="830">
                  <c:v>-10.785695676193102</c:v>
                </c:pt>
                <c:pt idx="831">
                  <c:v>-10.799332008329666</c:v>
                </c:pt>
                <c:pt idx="832">
                  <c:v>-10.812968356863916</c:v>
                </c:pt>
                <c:pt idx="833">
                  <c:v>-10.826604721795547</c:v>
                </c:pt>
                <c:pt idx="834">
                  <c:v>-10.840241103124255</c:v>
                </c:pt>
                <c:pt idx="835">
                  <c:v>-10.853877500849732</c:v>
                </c:pt>
                <c:pt idx="836">
                  <c:v>-10.867513914971674</c:v>
                </c:pt>
                <c:pt idx="837">
                  <c:v>-10.881150345489777</c:v>
                </c:pt>
                <c:pt idx="838">
                  <c:v>-10.894786792403734</c:v>
                </c:pt>
                <c:pt idx="839">
                  <c:v>-10.908423255713238</c:v>
                </c:pt>
                <c:pt idx="840">
                  <c:v>-10.922059735417985</c:v>
                </c:pt>
                <c:pt idx="841">
                  <c:v>-10.935696231517671</c:v>
                </c:pt>
                <c:pt idx="842">
                  <c:v>-10.949332744011988</c:v>
                </c:pt>
                <c:pt idx="843">
                  <c:v>-10.962969272900631</c:v>
                </c:pt>
                <c:pt idx="844">
                  <c:v>-10.976605818183296</c:v>
                </c:pt>
                <c:pt idx="845">
                  <c:v>-10.990242379859676</c:v>
                </c:pt>
                <c:pt idx="846">
                  <c:v>-11.003878957929468</c:v>
                </c:pt>
                <c:pt idx="847">
                  <c:v>-11.017515552392362</c:v>
                </c:pt>
                <c:pt idx="848">
                  <c:v>-11.031152163248057</c:v>
                </c:pt>
                <c:pt idx="849">
                  <c:v>-11.044788790496247</c:v>
                </c:pt>
                <c:pt idx="850">
                  <c:v>-11.058425434136623</c:v>
                </c:pt>
                <c:pt idx="851">
                  <c:v>-11.072062094168883</c:v>
                </c:pt>
                <c:pt idx="852">
                  <c:v>-11.085698770592721</c:v>
                </c:pt>
                <c:pt idx="853">
                  <c:v>-11.099335463407831</c:v>
                </c:pt>
                <c:pt idx="854">
                  <c:v>-11.112972172613906</c:v>
                </c:pt>
                <c:pt idx="855">
                  <c:v>-11.126608898210643</c:v>
                </c:pt>
                <c:pt idx="856">
                  <c:v>-11.140245640197735</c:v>
                </c:pt>
                <c:pt idx="857">
                  <c:v>-11.153882398574879</c:v>
                </c:pt>
                <c:pt idx="858">
                  <c:v>-11.167519173341768</c:v>
                </c:pt>
                <c:pt idx="859">
                  <c:v>-11.181155964498096</c:v>
                </c:pt>
                <c:pt idx="860">
                  <c:v>-11.194792772043558</c:v>
                </c:pt>
                <c:pt idx="861">
                  <c:v>-11.208429595977847</c:v>
                </c:pt>
                <c:pt idx="862">
                  <c:v>-11.222066436300661</c:v>
                </c:pt>
                <c:pt idx="863">
                  <c:v>-11.235703293011692</c:v>
                </c:pt>
                <c:pt idx="864">
                  <c:v>-11.249340166110636</c:v>
                </c:pt>
                <c:pt idx="865">
                  <c:v>-11.262977055597187</c:v>
                </c:pt>
                <c:pt idx="866">
                  <c:v>-11.276613961471039</c:v>
                </c:pt>
                <c:pt idx="867">
                  <c:v>-11.290250883731888</c:v>
                </c:pt>
                <c:pt idx="868">
                  <c:v>-11.303887822379426</c:v>
                </c:pt>
                <c:pt idx="869">
                  <c:v>-11.31752477741335</c:v>
                </c:pt>
                <c:pt idx="870">
                  <c:v>-11.331161748833354</c:v>
                </c:pt>
                <c:pt idx="871">
                  <c:v>-11.344798736639133</c:v>
                </c:pt>
                <c:pt idx="872">
                  <c:v>-11.35843574083038</c:v>
                </c:pt>
                <c:pt idx="873">
                  <c:v>-11.372072761406793</c:v>
                </c:pt>
                <c:pt idx="874">
                  <c:v>-11.385709798368064</c:v>
                </c:pt>
                <c:pt idx="875">
                  <c:v>-11.399346851713887</c:v>
                </c:pt>
                <c:pt idx="876">
                  <c:v>-11.412983921443958</c:v>
                </c:pt>
                <c:pt idx="877">
                  <c:v>-11.426621007557971</c:v>
                </c:pt>
                <c:pt idx="878">
                  <c:v>-11.440258110055622</c:v>
                </c:pt>
                <c:pt idx="879">
                  <c:v>-11.453895228936604</c:v>
                </c:pt>
                <c:pt idx="880">
                  <c:v>-11.467532364200611</c:v>
                </c:pt>
                <c:pt idx="881">
                  <c:v>-11.481169515847339</c:v>
                </c:pt>
                <c:pt idx="882">
                  <c:v>-11.494806683876483</c:v>
                </c:pt>
                <c:pt idx="883">
                  <c:v>-11.508443868287737</c:v>
                </c:pt>
                <c:pt idx="884">
                  <c:v>-11.522081069080796</c:v>
                </c:pt>
                <c:pt idx="885">
                  <c:v>-11.535718286255355</c:v>
                </c:pt>
                <c:pt idx="886">
                  <c:v>-11.549355519811106</c:v>
                </c:pt>
                <c:pt idx="887">
                  <c:v>-11.562992769747748</c:v>
                </c:pt>
                <c:pt idx="888">
                  <c:v>-11.576630036064971</c:v>
                </c:pt>
                <c:pt idx="889">
                  <c:v>-11.590267318762473</c:v>
                </c:pt>
                <c:pt idx="890">
                  <c:v>-11.603904617839948</c:v>
                </c:pt>
                <c:pt idx="891">
                  <c:v>-11.61754193329709</c:v>
                </c:pt>
                <c:pt idx="892">
                  <c:v>-11.631179265133595</c:v>
                </c:pt>
                <c:pt idx="893">
                  <c:v>-11.644816613349155</c:v>
                </c:pt>
                <c:pt idx="894">
                  <c:v>-11.658453977943466</c:v>
                </c:pt>
                <c:pt idx="895">
                  <c:v>-11.672091358916223</c:v>
                </c:pt>
                <c:pt idx="896">
                  <c:v>-11.685728756267121</c:v>
                </c:pt>
                <c:pt idx="897">
                  <c:v>-11.699366169995855</c:v>
                </c:pt>
                <c:pt idx="898">
                  <c:v>-11.713003600102118</c:v>
                </c:pt>
                <c:pt idx="899">
                  <c:v>-11.726641046585605</c:v>
                </c:pt>
                <c:pt idx="900">
                  <c:v>-11.740278509446012</c:v>
                </c:pt>
                <c:pt idx="901">
                  <c:v>-11.753915988683033</c:v>
                </c:pt>
                <c:pt idx="902">
                  <c:v>-11.767553484296362</c:v>
                </c:pt>
                <c:pt idx="903">
                  <c:v>-11.781190996285696</c:v>
                </c:pt>
                <c:pt idx="904">
                  <c:v>-11.794828524650727</c:v>
                </c:pt>
                <c:pt idx="905">
                  <c:v>-11.808466069391152</c:v>
                </c:pt>
                <c:pt idx="906">
                  <c:v>-11.822103630506662</c:v>
                </c:pt>
                <c:pt idx="907">
                  <c:v>-11.835741207996955</c:v>
                </c:pt>
                <c:pt idx="908">
                  <c:v>-11.849378801861725</c:v>
                </c:pt>
                <c:pt idx="909">
                  <c:v>-11.863016412100666</c:v>
                </c:pt>
                <c:pt idx="910">
                  <c:v>-11.876654038713474</c:v>
                </c:pt>
                <c:pt idx="911">
                  <c:v>-11.890291681699843</c:v>
                </c:pt>
                <c:pt idx="912">
                  <c:v>-11.903929341059467</c:v>
                </c:pt>
                <c:pt idx="913">
                  <c:v>-11.917567016792042</c:v>
                </c:pt>
                <c:pt idx="914">
                  <c:v>-11.931204708897262</c:v>
                </c:pt>
                <c:pt idx="915">
                  <c:v>-11.944842417374822</c:v>
                </c:pt>
                <c:pt idx="916">
                  <c:v>-11.958480142224417</c:v>
                </c:pt>
                <c:pt idx="917">
                  <c:v>-11.97211788344574</c:v>
                </c:pt>
                <c:pt idx="918">
                  <c:v>-11.985755641038487</c:v>
                </c:pt>
                <c:pt idx="919">
                  <c:v>-11.999393415002354</c:v>
                </c:pt>
                <c:pt idx="920">
                  <c:v>-12.013031205337034</c:v>
                </c:pt>
                <c:pt idx="921">
                  <c:v>-12.026669012042221</c:v>
                </c:pt>
                <c:pt idx="922">
                  <c:v>-12.040306835117612</c:v>
                </c:pt>
                <c:pt idx="923">
                  <c:v>-12.053944674562899</c:v>
                </c:pt>
                <c:pt idx="924">
                  <c:v>-12.067582530377781</c:v>
                </c:pt>
                <c:pt idx="925">
                  <c:v>-12.081220402561948</c:v>
                </c:pt>
                <c:pt idx="926">
                  <c:v>-12.094858291115099</c:v>
                </c:pt>
                <c:pt idx="927">
                  <c:v>-12.108496196036924</c:v>
                </c:pt>
                <c:pt idx="928">
                  <c:v>-12.122134117327121</c:v>
                </c:pt>
                <c:pt idx="929">
                  <c:v>-12.135772054985384</c:v>
                </c:pt>
                <c:pt idx="930">
                  <c:v>-12.14941000901141</c:v>
                </c:pt>
                <c:pt idx="931">
                  <c:v>-12.16304797940489</c:v>
                </c:pt>
                <c:pt idx="932">
                  <c:v>-12.176685966165522</c:v>
                </c:pt>
                <c:pt idx="933">
                  <c:v>-12.190323969292997</c:v>
                </c:pt>
                <c:pt idx="934">
                  <c:v>-12.203961988787013</c:v>
                </c:pt>
                <c:pt idx="935">
                  <c:v>-12.217600024647263</c:v>
                </c:pt>
                <c:pt idx="936">
                  <c:v>-12.231238076873444</c:v>
                </c:pt>
                <c:pt idx="937">
                  <c:v>-12.244876145465248</c:v>
                </c:pt>
                <c:pt idx="938">
                  <c:v>-12.258514230422373</c:v>
                </c:pt>
                <c:pt idx="939">
                  <c:v>-12.272152331744511</c:v>
                </c:pt>
                <c:pt idx="940">
                  <c:v>-12.285790449431358</c:v>
                </c:pt>
                <c:pt idx="941">
                  <c:v>-12.299428583482609</c:v>
                </c:pt>
                <c:pt idx="942">
                  <c:v>-12.313066733897957</c:v>
                </c:pt>
                <c:pt idx="943">
                  <c:v>-12.326704900677099</c:v>
                </c:pt>
                <c:pt idx="944">
                  <c:v>-12.340343083819727</c:v>
                </c:pt>
                <c:pt idx="945">
                  <c:v>-12.353981283325538</c:v>
                </c:pt>
                <c:pt idx="946">
                  <c:v>-12.367619499194227</c:v>
                </c:pt>
                <c:pt idx="947">
                  <c:v>-12.381257731425487</c:v>
                </c:pt>
                <c:pt idx="948">
                  <c:v>-12.394895980019015</c:v>
                </c:pt>
                <c:pt idx="949">
                  <c:v>-12.408534244974506</c:v>
                </c:pt>
                <c:pt idx="950">
                  <c:v>-12.422172526291652</c:v>
                </c:pt>
                <c:pt idx="951">
                  <c:v>-12.435810823970149</c:v>
                </c:pt>
                <c:pt idx="952">
                  <c:v>-12.449449138009694</c:v>
                </c:pt>
                <c:pt idx="953">
                  <c:v>-12.463087468409979</c:v>
                </c:pt>
                <c:pt idx="954">
                  <c:v>-12.476725815170701</c:v>
                </c:pt>
                <c:pt idx="955">
                  <c:v>-12.490364178291554</c:v>
                </c:pt>
                <c:pt idx="956">
                  <c:v>-12.504002557772232</c:v>
                </c:pt>
                <c:pt idx="957">
                  <c:v>-12.51764095361243</c:v>
                </c:pt>
                <c:pt idx="958">
                  <c:v>-12.531279365811843</c:v>
                </c:pt>
                <c:pt idx="959">
                  <c:v>-12.544917794370166</c:v>
                </c:pt>
                <c:pt idx="960">
                  <c:v>-12.558556239287094</c:v>
                </c:pt>
                <c:pt idx="961">
                  <c:v>-12.572194700562322</c:v>
                </c:pt>
                <c:pt idx="962">
                  <c:v>-12.585833178195545</c:v>
                </c:pt>
                <c:pt idx="963">
                  <c:v>-12.599471672186457</c:v>
                </c:pt>
                <c:pt idx="964">
                  <c:v>-12.613110182534752</c:v>
                </c:pt>
                <c:pt idx="965">
                  <c:v>-12.626748709240127</c:v>
                </c:pt>
                <c:pt idx="966">
                  <c:v>-12.640387252302276</c:v>
                </c:pt>
                <c:pt idx="967">
                  <c:v>-12.654025811720894</c:v>
                </c:pt>
                <c:pt idx="968">
                  <c:v>-12.667664387495675</c:v>
                </c:pt>
                <c:pt idx="969">
                  <c:v>-12.681302979626315</c:v>
                </c:pt>
                <c:pt idx="970">
                  <c:v>-12.694941588112508</c:v>
                </c:pt>
                <c:pt idx="971">
                  <c:v>-12.708580212953949</c:v>
                </c:pt>
                <c:pt idx="972">
                  <c:v>-12.722218854150334</c:v>
                </c:pt>
                <c:pt idx="973">
                  <c:v>-12.735857511701356</c:v>
                </c:pt>
                <c:pt idx="974">
                  <c:v>-12.749496185606711</c:v>
                </c:pt>
                <c:pt idx="975">
                  <c:v>-12.763134875866093</c:v>
                </c:pt>
                <c:pt idx="976">
                  <c:v>-12.776773582479199</c:v>
                </c:pt>
                <c:pt idx="977">
                  <c:v>-12.790412305445722</c:v>
                </c:pt>
                <c:pt idx="978">
                  <c:v>-12.804051044765357</c:v>
                </c:pt>
                <c:pt idx="979">
                  <c:v>-12.817689800437799</c:v>
                </c:pt>
                <c:pt idx="980">
                  <c:v>-12.831328572462745</c:v>
                </c:pt>
                <c:pt idx="981">
                  <c:v>-12.844967360839886</c:v>
                </c:pt>
                <c:pt idx="982">
                  <c:v>-12.85860616556892</c:v>
                </c:pt>
                <c:pt idx="983">
                  <c:v>-12.872244986649541</c:v>
                </c:pt>
                <c:pt idx="984">
                  <c:v>-12.885883824081443</c:v>
                </c:pt>
                <c:pt idx="985">
                  <c:v>-12.899522677864322</c:v>
                </c:pt>
                <c:pt idx="986">
                  <c:v>-12.913161547997873</c:v>
                </c:pt>
                <c:pt idx="987">
                  <c:v>-12.926800434481791</c:v>
                </c:pt>
                <c:pt idx="988">
                  <c:v>-12.94043933731577</c:v>
                </c:pt>
                <c:pt idx="989">
                  <c:v>-12.954078256499503</c:v>
                </c:pt>
                <c:pt idx="990">
                  <c:v>-12.967717192032689</c:v>
                </c:pt>
                <c:pt idx="991">
                  <c:v>-12.98135614391502</c:v>
                </c:pt>
                <c:pt idx="992">
                  <c:v>-12.994995112146194</c:v>
                </c:pt>
                <c:pt idx="993">
                  <c:v>-13.008634096725903</c:v>
                </c:pt>
                <c:pt idx="994">
                  <c:v>-13.022273097653843</c:v>
                </c:pt>
                <c:pt idx="995">
                  <c:v>-13.035912114929708</c:v>
                </c:pt>
                <c:pt idx="996">
                  <c:v>-13.049551148553194</c:v>
                </c:pt>
                <c:pt idx="997">
                  <c:v>-13.063190198523996</c:v>
                </c:pt>
                <c:pt idx="998">
                  <c:v>-13.076829264841809</c:v>
                </c:pt>
                <c:pt idx="999">
                  <c:v>-13.090468347506327</c:v>
                </c:pt>
                <c:pt idx="1000">
                  <c:v>-13.104107446517245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1-4567-B7A1-067915120221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18.7</c:v>
                </c:pt>
                <c:pt idx="1">
                  <c:v>74.912984085101726</c:v>
                </c:pt>
                <c:pt idx="2">
                  <c:v>131.12596817020346</c:v>
                </c:pt>
                <c:pt idx="3">
                  <c:v>129.63922975740505</c:v>
                </c:pt>
                <c:pt idx="4">
                  <c:v>131.12596817020346</c:v>
                </c:pt>
                <c:pt idx="5">
                  <c:v>125.47922975740502</c:v>
                </c:pt>
                <c:pt idx="6">
                  <c:v>131.12596817020346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1856.0996538431443</c:v>
                </c:pt>
                <c:pt idx="1">
                  <c:v>928.04982692157216</c:v>
                </c:pt>
                <c:pt idx="2">
                  <c:v>0</c:v>
                </c:pt>
                <c:pt idx="3">
                  <c:v>84.311682461944301</c:v>
                </c:pt>
                <c:pt idx="4">
                  <c:v>0</c:v>
                </c:pt>
                <c:pt idx="5">
                  <c:v>33.714503312969825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1-4567-B7A1-067915120221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51-4567-B7A1-067915120221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51-4567-B7A1-067915120221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4.6749999999999998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928.04982692157216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51-4567-B7A1-067915120221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30.600000000000136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930.06597831561305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51-4567-B7A1-06791512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5008"/>
        <c:axId val="149276928"/>
      </c:scatterChart>
      <c:valAx>
        <c:axId val="14927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42"/>
              <c:y val="0.851393056999950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6928"/>
        <c:crosses val="autoZero"/>
        <c:crossBetween val="midCat"/>
      </c:valAx>
      <c:valAx>
        <c:axId val="149276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500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62.499999999998664</c:v>
                </c:pt>
                <c:pt idx="2">
                  <c:v>187.49999999999599</c:v>
                </c:pt>
                <c:pt idx="3">
                  <c:v>240.00000000000108</c:v>
                </c:pt>
                <c:pt idx="4">
                  <c:v>220.00000000000148</c:v>
                </c:pt>
                <c:pt idx="5">
                  <c:v>209.56896551724145</c:v>
                </c:pt>
                <c:pt idx="6">
                  <c:v>208.70689655172424</c:v>
                </c:pt>
                <c:pt idx="7">
                  <c:v>207.844827586207</c:v>
                </c:pt>
                <c:pt idx="8">
                  <c:v>206.98275862068979</c:v>
                </c:pt>
                <c:pt idx="9">
                  <c:v>206.12068965517258</c:v>
                </c:pt>
                <c:pt idx="10">
                  <c:v>205.25862068965534</c:v>
                </c:pt>
                <c:pt idx="11">
                  <c:v>204.39655172413813</c:v>
                </c:pt>
                <c:pt idx="12">
                  <c:v>203.5344827586209</c:v>
                </c:pt>
                <c:pt idx="13">
                  <c:v>202.67241379310369</c:v>
                </c:pt>
                <c:pt idx="14">
                  <c:v>201.81034482758645</c:v>
                </c:pt>
                <c:pt idx="15">
                  <c:v>200.94827586206924</c:v>
                </c:pt>
                <c:pt idx="16">
                  <c:v>200.086206896552</c:v>
                </c:pt>
                <c:pt idx="17">
                  <c:v>199.22413793103479</c:v>
                </c:pt>
                <c:pt idx="18">
                  <c:v>198.36206896551755</c:v>
                </c:pt>
                <c:pt idx="19">
                  <c:v>197.50000000000034</c:v>
                </c:pt>
                <c:pt idx="20">
                  <c:v>196.63793103448313</c:v>
                </c:pt>
                <c:pt idx="21">
                  <c:v>195.77586206896589</c:v>
                </c:pt>
                <c:pt idx="22">
                  <c:v>194.91379310344868</c:v>
                </c:pt>
                <c:pt idx="23">
                  <c:v>194.05172413793144</c:v>
                </c:pt>
                <c:pt idx="24">
                  <c:v>193.18965517241423</c:v>
                </c:pt>
                <c:pt idx="25">
                  <c:v>192.327586206897</c:v>
                </c:pt>
                <c:pt idx="26">
                  <c:v>191.46551724137979</c:v>
                </c:pt>
                <c:pt idx="27">
                  <c:v>190.60344827586255</c:v>
                </c:pt>
                <c:pt idx="28">
                  <c:v>189.74137931034534</c:v>
                </c:pt>
                <c:pt idx="29">
                  <c:v>188.8793103448281</c:v>
                </c:pt>
                <c:pt idx="30">
                  <c:v>188.01724137931089</c:v>
                </c:pt>
                <c:pt idx="31">
                  <c:v>187.15517241379365</c:v>
                </c:pt>
                <c:pt idx="32">
                  <c:v>186.29310344827644</c:v>
                </c:pt>
                <c:pt idx="33">
                  <c:v>185.43103448275923</c:v>
                </c:pt>
                <c:pt idx="34">
                  <c:v>184.56896551724199</c:v>
                </c:pt>
                <c:pt idx="35">
                  <c:v>183.70689655172475</c:v>
                </c:pt>
                <c:pt idx="36">
                  <c:v>182.84482758620754</c:v>
                </c:pt>
                <c:pt idx="37">
                  <c:v>181.98275862069033</c:v>
                </c:pt>
                <c:pt idx="38">
                  <c:v>181.12068965517309</c:v>
                </c:pt>
                <c:pt idx="39">
                  <c:v>180.25862068965588</c:v>
                </c:pt>
                <c:pt idx="40">
                  <c:v>179.39655172413865</c:v>
                </c:pt>
                <c:pt idx="41">
                  <c:v>178.53448275862144</c:v>
                </c:pt>
                <c:pt idx="42">
                  <c:v>177.6724137931042</c:v>
                </c:pt>
                <c:pt idx="43">
                  <c:v>176.81034482758699</c:v>
                </c:pt>
                <c:pt idx="44">
                  <c:v>175.94827586206975</c:v>
                </c:pt>
                <c:pt idx="45">
                  <c:v>175.08620689655254</c:v>
                </c:pt>
                <c:pt idx="46">
                  <c:v>174.22413793103533</c:v>
                </c:pt>
                <c:pt idx="47">
                  <c:v>173.36206896551809</c:v>
                </c:pt>
                <c:pt idx="48">
                  <c:v>172.50000000000085</c:v>
                </c:pt>
                <c:pt idx="49">
                  <c:v>171.63793103448364</c:v>
                </c:pt>
                <c:pt idx="50">
                  <c:v>170.77586206896643</c:v>
                </c:pt>
                <c:pt idx="51">
                  <c:v>169.91379310344919</c:v>
                </c:pt>
                <c:pt idx="52">
                  <c:v>169.05172413793198</c:v>
                </c:pt>
                <c:pt idx="53">
                  <c:v>168.18965517241475</c:v>
                </c:pt>
                <c:pt idx="54">
                  <c:v>167.32758620689754</c:v>
                </c:pt>
                <c:pt idx="55">
                  <c:v>166.46551724138033</c:v>
                </c:pt>
                <c:pt idx="56">
                  <c:v>165.60344827586309</c:v>
                </c:pt>
                <c:pt idx="57">
                  <c:v>164.74137931034588</c:v>
                </c:pt>
                <c:pt idx="58">
                  <c:v>163.87931034482864</c:v>
                </c:pt>
                <c:pt idx="59">
                  <c:v>163.01724137931143</c:v>
                </c:pt>
                <c:pt idx="60">
                  <c:v>162.15517241379419</c:v>
                </c:pt>
                <c:pt idx="61">
                  <c:v>161.29310344827698</c:v>
                </c:pt>
                <c:pt idx="62">
                  <c:v>160.43103448275974</c:v>
                </c:pt>
                <c:pt idx="63">
                  <c:v>158.75000000000333</c:v>
                </c:pt>
                <c:pt idx="64">
                  <c:v>156.25000000000338</c:v>
                </c:pt>
                <c:pt idx="65">
                  <c:v>153.75000000000344</c:v>
                </c:pt>
                <c:pt idx="66">
                  <c:v>151.2500000000035</c:v>
                </c:pt>
                <c:pt idx="67">
                  <c:v>148.00000000000568</c:v>
                </c:pt>
                <c:pt idx="68">
                  <c:v>144.00000000000577</c:v>
                </c:pt>
                <c:pt idx="69">
                  <c:v>138.66666666667643</c:v>
                </c:pt>
                <c:pt idx="70">
                  <c:v>132.00000000000992</c:v>
                </c:pt>
                <c:pt idx="71">
                  <c:v>125.33333333334338</c:v>
                </c:pt>
                <c:pt idx="72">
                  <c:v>118.66666666667686</c:v>
                </c:pt>
                <c:pt idx="73">
                  <c:v>112.00000000001033</c:v>
                </c:pt>
                <c:pt idx="74">
                  <c:v>105.3333333333438</c:v>
                </c:pt>
                <c:pt idx="75">
                  <c:v>98.666666666677287</c:v>
                </c:pt>
                <c:pt idx="76">
                  <c:v>92.000000000010758</c:v>
                </c:pt>
                <c:pt idx="77">
                  <c:v>85.333333333344228</c:v>
                </c:pt>
                <c:pt idx="78">
                  <c:v>78.666666666677713</c:v>
                </c:pt>
                <c:pt idx="79">
                  <c:v>72.000000000011184</c:v>
                </c:pt>
                <c:pt idx="80">
                  <c:v>65.333333333344655</c:v>
                </c:pt>
                <c:pt idx="81">
                  <c:v>60.250000000006018</c:v>
                </c:pt>
                <c:pt idx="82">
                  <c:v>56.750000000006082</c:v>
                </c:pt>
                <c:pt idx="83">
                  <c:v>53.250000000006153</c:v>
                </c:pt>
                <c:pt idx="84">
                  <c:v>49.750000000006224</c:v>
                </c:pt>
                <c:pt idx="85">
                  <c:v>46.250000000006295</c:v>
                </c:pt>
                <c:pt idx="86">
                  <c:v>42.750000000006374</c:v>
                </c:pt>
                <c:pt idx="87">
                  <c:v>39.250000000006452</c:v>
                </c:pt>
                <c:pt idx="88">
                  <c:v>35.750000000006523</c:v>
                </c:pt>
                <c:pt idx="89">
                  <c:v>32.750000000004718</c:v>
                </c:pt>
                <c:pt idx="90">
                  <c:v>30.250000000004775</c:v>
                </c:pt>
                <c:pt idx="91">
                  <c:v>27.750000000004832</c:v>
                </c:pt>
                <c:pt idx="92">
                  <c:v>25.250000000004885</c:v>
                </c:pt>
                <c:pt idx="93">
                  <c:v>22.875000000004444</c:v>
                </c:pt>
                <c:pt idx="94">
                  <c:v>20.625000000004487</c:v>
                </c:pt>
                <c:pt idx="95">
                  <c:v>18.37500000000453</c:v>
                </c:pt>
                <c:pt idx="96">
                  <c:v>16.125000000004576</c:v>
                </c:pt>
                <c:pt idx="97">
                  <c:v>14.375000000002567</c:v>
                </c:pt>
                <c:pt idx="98">
                  <c:v>13.125000000002595</c:v>
                </c:pt>
                <c:pt idx="99">
                  <c:v>11.875000000002622</c:v>
                </c:pt>
                <c:pt idx="100">
                  <c:v>10.62500000000265</c:v>
                </c:pt>
                <c:pt idx="101">
                  <c:v>9.3750000000026787</c:v>
                </c:pt>
                <c:pt idx="102">
                  <c:v>8.1250000000027072</c:v>
                </c:pt>
                <c:pt idx="103">
                  <c:v>6.8750000000027338</c:v>
                </c:pt>
                <c:pt idx="104">
                  <c:v>5.6250000000027613</c:v>
                </c:pt>
                <c:pt idx="105">
                  <c:v>4.3750000000027898</c:v>
                </c:pt>
                <c:pt idx="106">
                  <c:v>3.1250000000028173</c:v>
                </c:pt>
                <c:pt idx="107">
                  <c:v>1.8750000000028457</c:v>
                </c:pt>
                <c:pt idx="108">
                  <c:v>0.62500000000287237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8D6-934B-5D8E0316888E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40.808619000000007</c:v>
                </c:pt>
                <c:pt idx="1">
                  <c:v>40.805364840353839</c:v>
                </c:pt>
                <c:pt idx="2">
                  <c:v>40.795602361415341</c:v>
                </c:pt>
                <c:pt idx="3">
                  <c:v>40.783106388374058</c:v>
                </c:pt>
                <c:pt idx="4">
                  <c:v>40.77165174641955</c:v>
                </c:pt>
                <c:pt idx="5">
                  <c:v>40.760740212488741</c:v>
                </c:pt>
                <c:pt idx="6">
                  <c:v>40.749873563518577</c:v>
                </c:pt>
                <c:pt idx="7">
                  <c:v>40.739051799509049</c:v>
                </c:pt>
                <c:pt idx="8">
                  <c:v>40.728274920460159</c:v>
                </c:pt>
                <c:pt idx="9">
                  <c:v>40.717542926371898</c:v>
                </c:pt>
                <c:pt idx="10">
                  <c:v>40.706855817244282</c:v>
                </c:pt>
                <c:pt idx="11">
                  <c:v>40.696213593077303</c:v>
                </c:pt>
                <c:pt idx="12">
                  <c:v>40.685616253870954</c:v>
                </c:pt>
                <c:pt idx="13">
                  <c:v>40.675063799625242</c:v>
                </c:pt>
                <c:pt idx="14">
                  <c:v>40.664556230340175</c:v>
                </c:pt>
                <c:pt idx="15">
                  <c:v>40.654093546015744</c:v>
                </c:pt>
                <c:pt idx="16">
                  <c:v>40.643675746651944</c:v>
                </c:pt>
                <c:pt idx="17">
                  <c:v>40.633302832248773</c:v>
                </c:pt>
                <c:pt idx="18">
                  <c:v>40.622974802806255</c:v>
                </c:pt>
                <c:pt idx="19">
                  <c:v>40.612691658324366</c:v>
                </c:pt>
                <c:pt idx="20">
                  <c:v>40.602453398803114</c:v>
                </c:pt>
                <c:pt idx="21">
                  <c:v>40.592260024242499</c:v>
                </c:pt>
                <c:pt idx="22">
                  <c:v>40.582111534642522</c:v>
                </c:pt>
                <c:pt idx="23">
                  <c:v>40.572007930003181</c:v>
                </c:pt>
                <c:pt idx="24">
                  <c:v>40.561949210324478</c:v>
                </c:pt>
                <c:pt idx="25">
                  <c:v>40.551935375606412</c:v>
                </c:pt>
                <c:pt idx="26">
                  <c:v>40.54196642584899</c:v>
                </c:pt>
                <c:pt idx="27">
                  <c:v>40.532042361052191</c:v>
                </c:pt>
                <c:pt idx="28">
                  <c:v>40.522163181216037</c:v>
                </c:pt>
                <c:pt idx="29">
                  <c:v>40.512328886340519</c:v>
                </c:pt>
                <c:pt idx="30">
                  <c:v>40.502539476425639</c:v>
                </c:pt>
                <c:pt idx="31">
                  <c:v>40.492794951471396</c:v>
                </c:pt>
                <c:pt idx="32">
                  <c:v>40.483095311477783</c:v>
                </c:pt>
                <c:pt idx="33">
                  <c:v>40.473440556444814</c:v>
                </c:pt>
                <c:pt idx="34">
                  <c:v>40.463830686372482</c:v>
                </c:pt>
                <c:pt idx="35">
                  <c:v>40.45426570126078</c:v>
                </c:pt>
                <c:pt idx="36">
                  <c:v>40.444745601109716</c:v>
                </c:pt>
                <c:pt idx="37">
                  <c:v>40.435270385919296</c:v>
                </c:pt>
                <c:pt idx="38">
                  <c:v>40.425840055689513</c:v>
                </c:pt>
                <c:pt idx="39">
                  <c:v>40.416454610420359</c:v>
                </c:pt>
                <c:pt idx="40">
                  <c:v>40.407114050111844</c:v>
                </c:pt>
                <c:pt idx="41">
                  <c:v>40.397818374763965</c:v>
                </c:pt>
                <c:pt idx="42">
                  <c:v>40.38856758437673</c:v>
                </c:pt>
                <c:pt idx="43">
                  <c:v>40.379361678950126</c:v>
                </c:pt>
                <c:pt idx="44">
                  <c:v>40.370200658484151</c:v>
                </c:pt>
                <c:pt idx="45">
                  <c:v>40.361084522978828</c:v>
                </c:pt>
                <c:pt idx="46">
                  <c:v>40.352013272434135</c:v>
                </c:pt>
                <c:pt idx="47">
                  <c:v>40.342986906850072</c:v>
                </c:pt>
                <c:pt idx="48">
                  <c:v>40.334005426226653</c:v>
                </c:pt>
                <c:pt idx="49">
                  <c:v>40.325068830563872</c:v>
                </c:pt>
                <c:pt idx="50">
                  <c:v>40.316177119861727</c:v>
                </c:pt>
                <c:pt idx="51">
                  <c:v>40.307330294120213</c:v>
                </c:pt>
                <c:pt idx="52">
                  <c:v>40.298528353339343</c:v>
                </c:pt>
                <c:pt idx="53">
                  <c:v>40.28977129751911</c:v>
                </c:pt>
                <c:pt idx="54">
                  <c:v>40.281059126659507</c:v>
                </c:pt>
                <c:pt idx="55">
                  <c:v>40.272391840760548</c:v>
                </c:pt>
                <c:pt idx="56">
                  <c:v>40.263769439822219</c:v>
                </c:pt>
                <c:pt idx="57">
                  <c:v>40.255191923844528</c:v>
                </c:pt>
                <c:pt idx="58">
                  <c:v>40.246659292827481</c:v>
                </c:pt>
                <c:pt idx="59">
                  <c:v>40.238171546771063</c:v>
                </c:pt>
                <c:pt idx="60">
                  <c:v>40.229728685675283</c:v>
                </c:pt>
                <c:pt idx="61">
                  <c:v>40.22133070954014</c:v>
                </c:pt>
                <c:pt idx="62">
                  <c:v>40.212977618365635</c:v>
                </c:pt>
                <c:pt idx="63">
                  <c:v>40.204712052864373</c:v>
                </c:pt>
                <c:pt idx="64">
                  <c:v>40.196576653748956</c:v>
                </c:pt>
                <c:pt idx="65">
                  <c:v>40.188571421019383</c:v>
                </c:pt>
                <c:pt idx="66">
                  <c:v>40.180696354675661</c:v>
                </c:pt>
                <c:pt idx="67">
                  <c:v>40.172990504633532</c:v>
                </c:pt>
                <c:pt idx="68">
                  <c:v>40.165492920808774</c:v>
                </c:pt>
                <c:pt idx="69">
                  <c:v>40.1582730252738</c:v>
                </c:pt>
                <c:pt idx="70">
                  <c:v>40.151400240101104</c:v>
                </c:pt>
                <c:pt idx="71">
                  <c:v>40.144874565290657</c:v>
                </c:pt>
                <c:pt idx="72">
                  <c:v>40.138696000842472</c:v>
                </c:pt>
                <c:pt idx="73">
                  <c:v>40.132864546756544</c:v>
                </c:pt>
                <c:pt idx="74">
                  <c:v>40.127380203032878</c:v>
                </c:pt>
                <c:pt idx="75">
                  <c:v>40.122242969671461</c:v>
                </c:pt>
                <c:pt idx="76">
                  <c:v>40.117452846672307</c:v>
                </c:pt>
                <c:pt idx="77">
                  <c:v>40.11300983403541</c:v>
                </c:pt>
                <c:pt idx="78">
                  <c:v>40.108913931760775</c:v>
                </c:pt>
                <c:pt idx="79">
                  <c:v>40.105165139848388</c:v>
                </c:pt>
                <c:pt idx="80">
                  <c:v>40.101763458298265</c:v>
                </c:pt>
                <c:pt idx="81">
                  <c:v>40.098626448399365</c:v>
                </c:pt>
                <c:pt idx="82">
                  <c:v>40.095671671440648</c:v>
                </c:pt>
                <c:pt idx="83">
                  <c:v>40.092899127422108</c:v>
                </c:pt>
                <c:pt idx="84">
                  <c:v>40.090308816343757</c:v>
                </c:pt>
                <c:pt idx="85">
                  <c:v>40.08790073820559</c:v>
                </c:pt>
                <c:pt idx="86">
                  <c:v>40.085674893007607</c:v>
                </c:pt>
                <c:pt idx="87">
                  <c:v>40.083631280749813</c:v>
                </c:pt>
                <c:pt idx="88">
                  <c:v>40.08176990143221</c:v>
                </c:pt>
                <c:pt idx="89">
                  <c:v>40.080064721777617</c:v>
                </c:pt>
                <c:pt idx="90">
                  <c:v>40.078489708508876</c:v>
                </c:pt>
                <c:pt idx="91">
                  <c:v>40.077044861625971</c:v>
                </c:pt>
                <c:pt idx="92">
                  <c:v>40.075730181128925</c:v>
                </c:pt>
                <c:pt idx="93">
                  <c:v>40.074539158698428</c:v>
                </c:pt>
                <c:pt idx="94">
                  <c:v>40.073465286015193</c:v>
                </c:pt>
                <c:pt idx="95">
                  <c:v>40.072508563079218</c:v>
                </c:pt>
                <c:pt idx="96">
                  <c:v>40.071668989890512</c:v>
                </c:pt>
                <c:pt idx="97">
                  <c:v>40.070920533171886</c:v>
                </c:pt>
                <c:pt idx="98">
                  <c:v>40.070237159646197</c:v>
                </c:pt>
                <c:pt idx="99">
                  <c:v>40.069618869313423</c:v>
                </c:pt>
                <c:pt idx="100">
                  <c:v>40.069065662173571</c:v>
                </c:pt>
                <c:pt idx="101">
                  <c:v>40.068577538226648</c:v>
                </c:pt>
                <c:pt idx="102">
                  <c:v>40.068154497472648</c:v>
                </c:pt>
                <c:pt idx="103">
                  <c:v>40.067796539911569</c:v>
                </c:pt>
                <c:pt idx="104">
                  <c:v>40.06750366554342</c:v>
                </c:pt>
                <c:pt idx="105">
                  <c:v>40.067275874368185</c:v>
                </c:pt>
                <c:pt idx="106">
                  <c:v>40.067113166385873</c:v>
                </c:pt>
                <c:pt idx="107">
                  <c:v>40.067015541596497</c:v>
                </c:pt>
                <c:pt idx="108">
                  <c:v>40.066983000000036</c:v>
                </c:pt>
                <c:pt idx="109">
                  <c:v>40.066983000000036</c:v>
                </c:pt>
                <c:pt idx="110">
                  <c:v>40.066983000000036</c:v>
                </c:pt>
                <c:pt idx="111">
                  <c:v>40.066983000000036</c:v>
                </c:pt>
                <c:pt idx="112">
                  <c:v>40.066983000000036</c:v>
                </c:pt>
                <c:pt idx="113">
                  <c:v>40.066983000000036</c:v>
                </c:pt>
                <c:pt idx="114">
                  <c:v>40.066983000000036</c:v>
                </c:pt>
                <c:pt idx="115">
                  <c:v>40.066983000000036</c:v>
                </c:pt>
                <c:pt idx="116">
                  <c:v>40.066983000000036</c:v>
                </c:pt>
                <c:pt idx="117">
                  <c:v>40.066983000000036</c:v>
                </c:pt>
                <c:pt idx="118">
                  <c:v>40.066983000000036</c:v>
                </c:pt>
                <c:pt idx="119">
                  <c:v>40.066983000000036</c:v>
                </c:pt>
                <c:pt idx="120">
                  <c:v>40.066983000000036</c:v>
                </c:pt>
                <c:pt idx="121">
                  <c:v>40.066983000000036</c:v>
                </c:pt>
                <c:pt idx="122">
                  <c:v>40.066983000000036</c:v>
                </c:pt>
                <c:pt idx="123">
                  <c:v>40.066983000000036</c:v>
                </c:pt>
                <c:pt idx="124">
                  <c:v>40.066983000000036</c:v>
                </c:pt>
                <c:pt idx="125">
                  <c:v>40.066983000000036</c:v>
                </c:pt>
                <c:pt idx="126">
                  <c:v>40.066983000000036</c:v>
                </c:pt>
                <c:pt idx="127">
                  <c:v>40.066983000000036</c:v>
                </c:pt>
                <c:pt idx="128">
                  <c:v>40.066983000000036</c:v>
                </c:pt>
                <c:pt idx="129">
                  <c:v>40.066983000000036</c:v>
                </c:pt>
                <c:pt idx="130">
                  <c:v>40.066983000000036</c:v>
                </c:pt>
                <c:pt idx="131">
                  <c:v>40.066983000000036</c:v>
                </c:pt>
                <c:pt idx="132">
                  <c:v>40.066983000000036</c:v>
                </c:pt>
                <c:pt idx="133">
                  <c:v>40.066983000000036</c:v>
                </c:pt>
                <c:pt idx="134">
                  <c:v>40.066983000000036</c:v>
                </c:pt>
                <c:pt idx="135">
                  <c:v>40.066983000000036</c:v>
                </c:pt>
                <c:pt idx="136">
                  <c:v>40.066983000000036</c:v>
                </c:pt>
                <c:pt idx="137">
                  <c:v>40.066983000000036</c:v>
                </c:pt>
                <c:pt idx="138">
                  <c:v>40.066983000000036</c:v>
                </c:pt>
                <c:pt idx="139">
                  <c:v>40.066983000000036</c:v>
                </c:pt>
                <c:pt idx="140">
                  <c:v>40.066983000000036</c:v>
                </c:pt>
                <c:pt idx="141">
                  <c:v>40.066983000000036</c:v>
                </c:pt>
                <c:pt idx="142">
                  <c:v>40.066983000000036</c:v>
                </c:pt>
                <c:pt idx="143">
                  <c:v>40.066983000000036</c:v>
                </c:pt>
                <c:pt idx="144">
                  <c:v>40.066983000000036</c:v>
                </c:pt>
                <c:pt idx="145">
                  <c:v>40.066983000000036</c:v>
                </c:pt>
                <c:pt idx="146">
                  <c:v>40.066983000000036</c:v>
                </c:pt>
                <c:pt idx="147">
                  <c:v>40.066983000000036</c:v>
                </c:pt>
                <c:pt idx="148">
                  <c:v>40.066983000000036</c:v>
                </c:pt>
                <c:pt idx="149">
                  <c:v>40.066983000000036</c:v>
                </c:pt>
                <c:pt idx="150">
                  <c:v>40.066983000000036</c:v>
                </c:pt>
                <c:pt idx="151">
                  <c:v>40.066983000000036</c:v>
                </c:pt>
                <c:pt idx="152">
                  <c:v>40.066983000000036</c:v>
                </c:pt>
                <c:pt idx="153">
                  <c:v>40.066983000000036</c:v>
                </c:pt>
                <c:pt idx="154">
                  <c:v>40.066983000000036</c:v>
                </c:pt>
                <c:pt idx="155">
                  <c:v>40.066983000000036</c:v>
                </c:pt>
                <c:pt idx="156">
                  <c:v>40.066983000000036</c:v>
                </c:pt>
                <c:pt idx="157">
                  <c:v>40.066983000000036</c:v>
                </c:pt>
                <c:pt idx="158">
                  <c:v>40.066983000000036</c:v>
                </c:pt>
                <c:pt idx="159">
                  <c:v>40.066983000000036</c:v>
                </c:pt>
                <c:pt idx="160">
                  <c:v>40.066983000000036</c:v>
                </c:pt>
                <c:pt idx="161">
                  <c:v>40.066983000000036</c:v>
                </c:pt>
                <c:pt idx="162">
                  <c:v>40.066983000000036</c:v>
                </c:pt>
                <c:pt idx="163">
                  <c:v>40.066983000000036</c:v>
                </c:pt>
                <c:pt idx="164">
                  <c:v>40.066983000000036</c:v>
                </c:pt>
                <c:pt idx="165">
                  <c:v>40.066983000000036</c:v>
                </c:pt>
                <c:pt idx="166">
                  <c:v>40.066983000000036</c:v>
                </c:pt>
                <c:pt idx="167">
                  <c:v>40.066983000000036</c:v>
                </c:pt>
                <c:pt idx="168">
                  <c:v>40.066983000000036</c:v>
                </c:pt>
                <c:pt idx="169">
                  <c:v>40.066983000000036</c:v>
                </c:pt>
                <c:pt idx="170">
                  <c:v>40.066983000000036</c:v>
                </c:pt>
                <c:pt idx="171">
                  <c:v>40.066983000000036</c:v>
                </c:pt>
                <c:pt idx="172">
                  <c:v>40.066983000000036</c:v>
                </c:pt>
                <c:pt idx="173">
                  <c:v>40.066983000000036</c:v>
                </c:pt>
                <c:pt idx="174">
                  <c:v>40.066983000000036</c:v>
                </c:pt>
                <c:pt idx="175">
                  <c:v>40.066983000000036</c:v>
                </c:pt>
                <c:pt idx="176">
                  <c:v>40.066983000000036</c:v>
                </c:pt>
                <c:pt idx="177">
                  <c:v>40.066983000000036</c:v>
                </c:pt>
                <c:pt idx="178">
                  <c:v>40.066983000000036</c:v>
                </c:pt>
                <c:pt idx="179">
                  <c:v>40.066983000000036</c:v>
                </c:pt>
                <c:pt idx="180">
                  <c:v>40.066983000000036</c:v>
                </c:pt>
                <c:pt idx="181">
                  <c:v>40.066983000000036</c:v>
                </c:pt>
                <c:pt idx="182">
                  <c:v>40.066983000000036</c:v>
                </c:pt>
                <c:pt idx="183">
                  <c:v>40.066983000000036</c:v>
                </c:pt>
                <c:pt idx="184">
                  <c:v>40.066983000000036</c:v>
                </c:pt>
                <c:pt idx="185">
                  <c:v>40.066983000000036</c:v>
                </c:pt>
                <c:pt idx="186">
                  <c:v>40.066983000000036</c:v>
                </c:pt>
                <c:pt idx="187">
                  <c:v>40.066983000000036</c:v>
                </c:pt>
                <c:pt idx="188">
                  <c:v>40.066983000000036</c:v>
                </c:pt>
                <c:pt idx="189">
                  <c:v>40.066983000000036</c:v>
                </c:pt>
                <c:pt idx="190">
                  <c:v>40.066983000000036</c:v>
                </c:pt>
                <c:pt idx="191">
                  <c:v>40.066983000000036</c:v>
                </c:pt>
                <c:pt idx="192">
                  <c:v>40.066983000000036</c:v>
                </c:pt>
                <c:pt idx="193">
                  <c:v>40.066983000000036</c:v>
                </c:pt>
                <c:pt idx="194">
                  <c:v>40.066983000000036</c:v>
                </c:pt>
                <c:pt idx="195">
                  <c:v>40.066983000000036</c:v>
                </c:pt>
                <c:pt idx="196">
                  <c:v>40.066983000000036</c:v>
                </c:pt>
                <c:pt idx="197">
                  <c:v>40.066983000000036</c:v>
                </c:pt>
                <c:pt idx="198">
                  <c:v>40.066983000000036</c:v>
                </c:pt>
                <c:pt idx="199">
                  <c:v>40.066983000000036</c:v>
                </c:pt>
                <c:pt idx="200">
                  <c:v>40.066983000000036</c:v>
                </c:pt>
                <c:pt idx="201">
                  <c:v>40.066983000000036</c:v>
                </c:pt>
                <c:pt idx="202">
                  <c:v>40.066983000000036</c:v>
                </c:pt>
                <c:pt idx="203">
                  <c:v>40.066983000000036</c:v>
                </c:pt>
                <c:pt idx="204">
                  <c:v>40.066983000000036</c:v>
                </c:pt>
                <c:pt idx="205">
                  <c:v>40.066983000000036</c:v>
                </c:pt>
                <c:pt idx="206">
                  <c:v>40.066983000000036</c:v>
                </c:pt>
                <c:pt idx="207">
                  <c:v>40.066983000000036</c:v>
                </c:pt>
                <c:pt idx="208">
                  <c:v>40.066983000000036</c:v>
                </c:pt>
                <c:pt idx="209">
                  <c:v>40.066983000000036</c:v>
                </c:pt>
                <c:pt idx="210">
                  <c:v>40.066983000000036</c:v>
                </c:pt>
                <c:pt idx="211">
                  <c:v>40.066983000000036</c:v>
                </c:pt>
                <c:pt idx="212">
                  <c:v>40.066983000000036</c:v>
                </c:pt>
                <c:pt idx="213">
                  <c:v>40.066983000000036</c:v>
                </c:pt>
                <c:pt idx="214">
                  <c:v>40.066983000000036</c:v>
                </c:pt>
                <c:pt idx="215">
                  <c:v>40.066983000000036</c:v>
                </c:pt>
                <c:pt idx="216">
                  <c:v>40.066983000000036</c:v>
                </c:pt>
                <c:pt idx="217">
                  <c:v>40.066983000000036</c:v>
                </c:pt>
                <c:pt idx="218">
                  <c:v>40.066983000000036</c:v>
                </c:pt>
                <c:pt idx="219">
                  <c:v>40.066983000000036</c:v>
                </c:pt>
                <c:pt idx="220">
                  <c:v>40.066983000000036</c:v>
                </c:pt>
                <c:pt idx="221">
                  <c:v>40.066983000000036</c:v>
                </c:pt>
                <c:pt idx="222">
                  <c:v>40.066983000000036</c:v>
                </c:pt>
                <c:pt idx="223">
                  <c:v>40.066983000000036</c:v>
                </c:pt>
                <c:pt idx="224">
                  <c:v>40.066983000000036</c:v>
                </c:pt>
                <c:pt idx="225">
                  <c:v>40.066983000000036</c:v>
                </c:pt>
                <c:pt idx="226">
                  <c:v>40.066983000000036</c:v>
                </c:pt>
                <c:pt idx="227">
                  <c:v>40.066983000000036</c:v>
                </c:pt>
                <c:pt idx="228">
                  <c:v>40.066983000000036</c:v>
                </c:pt>
                <c:pt idx="229">
                  <c:v>40.066983000000036</c:v>
                </c:pt>
                <c:pt idx="230">
                  <c:v>40.066983000000036</c:v>
                </c:pt>
                <c:pt idx="231">
                  <c:v>40.066983000000036</c:v>
                </c:pt>
                <c:pt idx="232">
                  <c:v>40.066983000000036</c:v>
                </c:pt>
                <c:pt idx="233">
                  <c:v>40.066983000000036</c:v>
                </c:pt>
                <c:pt idx="234">
                  <c:v>40.066983000000036</c:v>
                </c:pt>
                <c:pt idx="235">
                  <c:v>40.066983000000036</c:v>
                </c:pt>
                <c:pt idx="236">
                  <c:v>40.066983000000036</c:v>
                </c:pt>
                <c:pt idx="237">
                  <c:v>40.066983000000036</c:v>
                </c:pt>
                <c:pt idx="238">
                  <c:v>40.066983000000036</c:v>
                </c:pt>
                <c:pt idx="239">
                  <c:v>40.066983000000036</c:v>
                </c:pt>
                <c:pt idx="240">
                  <c:v>40.066983000000036</c:v>
                </c:pt>
                <c:pt idx="241">
                  <c:v>40.066983000000036</c:v>
                </c:pt>
                <c:pt idx="242">
                  <c:v>40.066983000000036</c:v>
                </c:pt>
                <c:pt idx="243">
                  <c:v>40.066983000000036</c:v>
                </c:pt>
                <c:pt idx="244">
                  <c:v>40.066983000000036</c:v>
                </c:pt>
                <c:pt idx="245">
                  <c:v>40.066983000000036</c:v>
                </c:pt>
                <c:pt idx="246">
                  <c:v>40.066983000000036</c:v>
                </c:pt>
                <c:pt idx="247">
                  <c:v>40.066983000000036</c:v>
                </c:pt>
                <c:pt idx="248">
                  <c:v>40.066983000000036</c:v>
                </c:pt>
                <c:pt idx="249">
                  <c:v>40.066983000000036</c:v>
                </c:pt>
                <c:pt idx="250">
                  <c:v>40.066983000000036</c:v>
                </c:pt>
                <c:pt idx="251">
                  <c:v>40.066983000000036</c:v>
                </c:pt>
                <c:pt idx="252">
                  <c:v>40.066983000000036</c:v>
                </c:pt>
                <c:pt idx="253">
                  <c:v>40.066983000000036</c:v>
                </c:pt>
                <c:pt idx="254">
                  <c:v>40.066983000000036</c:v>
                </c:pt>
                <c:pt idx="255">
                  <c:v>40.066983000000036</c:v>
                </c:pt>
                <c:pt idx="256">
                  <c:v>40.066983000000036</c:v>
                </c:pt>
                <c:pt idx="257">
                  <c:v>40.066983000000036</c:v>
                </c:pt>
                <c:pt idx="258">
                  <c:v>40.066983000000036</c:v>
                </c:pt>
                <c:pt idx="259">
                  <c:v>40.066983000000036</c:v>
                </c:pt>
                <c:pt idx="260">
                  <c:v>40.066983000000036</c:v>
                </c:pt>
                <c:pt idx="261">
                  <c:v>40.066983000000036</c:v>
                </c:pt>
                <c:pt idx="262">
                  <c:v>40.066983000000036</c:v>
                </c:pt>
                <c:pt idx="263">
                  <c:v>40.066983000000036</c:v>
                </c:pt>
                <c:pt idx="264">
                  <c:v>40.066983000000036</c:v>
                </c:pt>
                <c:pt idx="265">
                  <c:v>40.066983000000036</c:v>
                </c:pt>
                <c:pt idx="266">
                  <c:v>40.066983000000036</c:v>
                </c:pt>
                <c:pt idx="267">
                  <c:v>40.066983000000036</c:v>
                </c:pt>
                <c:pt idx="268">
                  <c:v>40.066983000000036</c:v>
                </c:pt>
                <c:pt idx="269">
                  <c:v>40.066983000000036</c:v>
                </c:pt>
                <c:pt idx="270">
                  <c:v>40.066983000000036</c:v>
                </c:pt>
                <c:pt idx="271">
                  <c:v>40.066983000000036</c:v>
                </c:pt>
                <c:pt idx="272">
                  <c:v>40.066983000000036</c:v>
                </c:pt>
                <c:pt idx="273">
                  <c:v>40.066983000000036</c:v>
                </c:pt>
                <c:pt idx="274">
                  <c:v>40.066983000000036</c:v>
                </c:pt>
                <c:pt idx="275">
                  <c:v>40.066983000000036</c:v>
                </c:pt>
                <c:pt idx="276">
                  <c:v>40.066983000000036</c:v>
                </c:pt>
                <c:pt idx="277">
                  <c:v>40.066983000000036</c:v>
                </c:pt>
                <c:pt idx="278">
                  <c:v>40.066983000000036</c:v>
                </c:pt>
                <c:pt idx="279">
                  <c:v>40.066983000000036</c:v>
                </c:pt>
                <c:pt idx="280">
                  <c:v>40.066983000000036</c:v>
                </c:pt>
                <c:pt idx="281">
                  <c:v>40.066983000000036</c:v>
                </c:pt>
                <c:pt idx="282">
                  <c:v>40.066983000000036</c:v>
                </c:pt>
                <c:pt idx="283">
                  <c:v>40.066983000000036</c:v>
                </c:pt>
                <c:pt idx="284">
                  <c:v>40.066983000000036</c:v>
                </c:pt>
                <c:pt idx="285">
                  <c:v>40.066983000000036</c:v>
                </c:pt>
                <c:pt idx="286">
                  <c:v>40.066983000000036</c:v>
                </c:pt>
                <c:pt idx="287">
                  <c:v>40.066983000000036</c:v>
                </c:pt>
                <c:pt idx="288">
                  <c:v>40.066983000000036</c:v>
                </c:pt>
                <c:pt idx="289">
                  <c:v>40.066983000000036</c:v>
                </c:pt>
                <c:pt idx="290">
                  <c:v>40.066983000000036</c:v>
                </c:pt>
                <c:pt idx="291">
                  <c:v>40.066983000000036</c:v>
                </c:pt>
                <c:pt idx="292">
                  <c:v>40.066983000000036</c:v>
                </c:pt>
                <c:pt idx="293">
                  <c:v>40.066983000000036</c:v>
                </c:pt>
                <c:pt idx="294">
                  <c:v>40.066983000000036</c:v>
                </c:pt>
                <c:pt idx="295">
                  <c:v>40.066983000000036</c:v>
                </c:pt>
                <c:pt idx="296">
                  <c:v>40.066983000000036</c:v>
                </c:pt>
                <c:pt idx="297">
                  <c:v>40.066983000000036</c:v>
                </c:pt>
                <c:pt idx="298">
                  <c:v>40.066983000000036</c:v>
                </c:pt>
                <c:pt idx="299">
                  <c:v>40.066983000000036</c:v>
                </c:pt>
                <c:pt idx="300">
                  <c:v>40.066983000000036</c:v>
                </c:pt>
                <c:pt idx="301">
                  <c:v>40.066983000000036</c:v>
                </c:pt>
                <c:pt idx="302">
                  <c:v>40.066983000000036</c:v>
                </c:pt>
                <c:pt idx="303">
                  <c:v>40.066983000000036</c:v>
                </c:pt>
                <c:pt idx="304">
                  <c:v>40.066983000000036</c:v>
                </c:pt>
                <c:pt idx="305">
                  <c:v>40.066983000000036</c:v>
                </c:pt>
                <c:pt idx="306">
                  <c:v>40.066983000000036</c:v>
                </c:pt>
                <c:pt idx="307">
                  <c:v>40.066983000000036</c:v>
                </c:pt>
                <c:pt idx="308">
                  <c:v>40.066983000000036</c:v>
                </c:pt>
                <c:pt idx="309">
                  <c:v>40.066983000000036</c:v>
                </c:pt>
                <c:pt idx="310">
                  <c:v>40.066983000000036</c:v>
                </c:pt>
                <c:pt idx="311">
                  <c:v>40.066983000000036</c:v>
                </c:pt>
                <c:pt idx="312">
                  <c:v>40.066983000000036</c:v>
                </c:pt>
                <c:pt idx="313">
                  <c:v>40.066983000000036</c:v>
                </c:pt>
                <c:pt idx="314">
                  <c:v>40.066983000000036</c:v>
                </c:pt>
                <c:pt idx="315">
                  <c:v>40.066983000000036</c:v>
                </c:pt>
                <c:pt idx="316">
                  <c:v>40.066983000000036</c:v>
                </c:pt>
                <c:pt idx="317">
                  <c:v>40.066983000000036</c:v>
                </c:pt>
                <c:pt idx="318">
                  <c:v>40.066983000000036</c:v>
                </c:pt>
                <c:pt idx="319">
                  <c:v>40.066983000000036</c:v>
                </c:pt>
                <c:pt idx="320">
                  <c:v>40.066983000000036</c:v>
                </c:pt>
                <c:pt idx="321">
                  <c:v>40.066983000000036</c:v>
                </c:pt>
                <c:pt idx="322">
                  <c:v>40.066983000000036</c:v>
                </c:pt>
                <c:pt idx="323">
                  <c:v>40.066983000000036</c:v>
                </c:pt>
                <c:pt idx="324">
                  <c:v>40.066983000000036</c:v>
                </c:pt>
                <c:pt idx="325">
                  <c:v>40.066983000000036</c:v>
                </c:pt>
                <c:pt idx="326">
                  <c:v>40.066983000000036</c:v>
                </c:pt>
                <c:pt idx="327">
                  <c:v>40.066983000000036</c:v>
                </c:pt>
                <c:pt idx="328">
                  <c:v>40.066983000000036</c:v>
                </c:pt>
                <c:pt idx="329">
                  <c:v>40.066983000000036</c:v>
                </c:pt>
                <c:pt idx="330">
                  <c:v>40.066983000000036</c:v>
                </c:pt>
                <c:pt idx="331">
                  <c:v>40.066983000000036</c:v>
                </c:pt>
                <c:pt idx="332">
                  <c:v>40.066983000000036</c:v>
                </c:pt>
                <c:pt idx="333">
                  <c:v>40.066983000000036</c:v>
                </c:pt>
                <c:pt idx="334">
                  <c:v>40.066983000000036</c:v>
                </c:pt>
                <c:pt idx="335">
                  <c:v>40.066983000000036</c:v>
                </c:pt>
                <c:pt idx="336">
                  <c:v>40.066983000000036</c:v>
                </c:pt>
                <c:pt idx="337">
                  <c:v>40.066983000000036</c:v>
                </c:pt>
                <c:pt idx="338">
                  <c:v>40.066983000000036</c:v>
                </c:pt>
                <c:pt idx="339">
                  <c:v>40.066983000000036</c:v>
                </c:pt>
                <c:pt idx="340">
                  <c:v>40.066983000000036</c:v>
                </c:pt>
                <c:pt idx="341">
                  <c:v>40.066983000000036</c:v>
                </c:pt>
                <c:pt idx="342">
                  <c:v>40.066983000000036</c:v>
                </c:pt>
                <c:pt idx="343">
                  <c:v>40.066983000000036</c:v>
                </c:pt>
                <c:pt idx="344">
                  <c:v>40.066983000000036</c:v>
                </c:pt>
                <c:pt idx="345">
                  <c:v>40.066983000000036</c:v>
                </c:pt>
                <c:pt idx="346">
                  <c:v>40.066983000000036</c:v>
                </c:pt>
                <c:pt idx="347">
                  <c:v>40.066983000000036</c:v>
                </c:pt>
                <c:pt idx="348">
                  <c:v>40.066983000000036</c:v>
                </c:pt>
                <c:pt idx="349">
                  <c:v>40.066983000000036</c:v>
                </c:pt>
                <c:pt idx="350">
                  <c:v>40.066983000000036</c:v>
                </c:pt>
                <c:pt idx="351">
                  <c:v>40.066983000000036</c:v>
                </c:pt>
                <c:pt idx="352">
                  <c:v>40.066983000000036</c:v>
                </c:pt>
                <c:pt idx="353">
                  <c:v>40.066983000000036</c:v>
                </c:pt>
                <c:pt idx="354">
                  <c:v>40.066983000000036</c:v>
                </c:pt>
                <c:pt idx="355">
                  <c:v>40.066983000000036</c:v>
                </c:pt>
                <c:pt idx="356">
                  <c:v>40.066983000000036</c:v>
                </c:pt>
                <c:pt idx="357">
                  <c:v>40.066983000000036</c:v>
                </c:pt>
                <c:pt idx="358">
                  <c:v>40.066983000000036</c:v>
                </c:pt>
                <c:pt idx="359">
                  <c:v>40.066983000000036</c:v>
                </c:pt>
                <c:pt idx="360">
                  <c:v>40.066983000000036</c:v>
                </c:pt>
                <c:pt idx="361">
                  <c:v>40.066983000000036</c:v>
                </c:pt>
                <c:pt idx="362">
                  <c:v>40.066983000000036</c:v>
                </c:pt>
                <c:pt idx="363">
                  <c:v>40.066983000000036</c:v>
                </c:pt>
                <c:pt idx="364">
                  <c:v>40.066983000000036</c:v>
                </c:pt>
                <c:pt idx="365">
                  <c:v>40.066983000000036</c:v>
                </c:pt>
                <c:pt idx="366">
                  <c:v>40.066983000000036</c:v>
                </c:pt>
                <c:pt idx="367">
                  <c:v>40.066983000000036</c:v>
                </c:pt>
                <c:pt idx="368">
                  <c:v>40.066983000000036</c:v>
                </c:pt>
                <c:pt idx="369">
                  <c:v>40.066983000000036</c:v>
                </c:pt>
                <c:pt idx="370">
                  <c:v>40.066983000000036</c:v>
                </c:pt>
                <c:pt idx="371">
                  <c:v>40.066983000000036</c:v>
                </c:pt>
                <c:pt idx="372">
                  <c:v>40.066983000000036</c:v>
                </c:pt>
                <c:pt idx="373">
                  <c:v>40.066983000000036</c:v>
                </c:pt>
                <c:pt idx="374">
                  <c:v>40.066983000000036</c:v>
                </c:pt>
                <c:pt idx="375">
                  <c:v>40.066983000000036</c:v>
                </c:pt>
                <c:pt idx="376">
                  <c:v>40.066983000000036</c:v>
                </c:pt>
                <c:pt idx="377">
                  <c:v>40.066983000000036</c:v>
                </c:pt>
                <c:pt idx="378">
                  <c:v>40.066983000000036</c:v>
                </c:pt>
                <c:pt idx="379">
                  <c:v>40.066983000000036</c:v>
                </c:pt>
                <c:pt idx="380">
                  <c:v>40.066983000000036</c:v>
                </c:pt>
                <c:pt idx="381">
                  <c:v>40.066983000000036</c:v>
                </c:pt>
                <c:pt idx="382">
                  <c:v>40.066983000000036</c:v>
                </c:pt>
                <c:pt idx="383">
                  <c:v>40.066983000000036</c:v>
                </c:pt>
                <c:pt idx="384">
                  <c:v>40.066983000000036</c:v>
                </c:pt>
                <c:pt idx="385">
                  <c:v>40.066983000000036</c:v>
                </c:pt>
                <c:pt idx="386">
                  <c:v>40.066983000000036</c:v>
                </c:pt>
                <c:pt idx="387">
                  <c:v>40.066983000000036</c:v>
                </c:pt>
                <c:pt idx="388">
                  <c:v>40.066983000000036</c:v>
                </c:pt>
                <c:pt idx="389">
                  <c:v>40.066983000000036</c:v>
                </c:pt>
                <c:pt idx="390">
                  <c:v>40.066983000000036</c:v>
                </c:pt>
                <c:pt idx="391">
                  <c:v>40.066983000000036</c:v>
                </c:pt>
                <c:pt idx="392">
                  <c:v>40.066983000000036</c:v>
                </c:pt>
                <c:pt idx="393">
                  <c:v>40.066983000000036</c:v>
                </c:pt>
                <c:pt idx="394">
                  <c:v>40.066983000000036</c:v>
                </c:pt>
                <c:pt idx="395">
                  <c:v>40.066983000000036</c:v>
                </c:pt>
                <c:pt idx="396">
                  <c:v>40.066983000000036</c:v>
                </c:pt>
                <c:pt idx="397">
                  <c:v>40.066983000000036</c:v>
                </c:pt>
                <c:pt idx="398">
                  <c:v>40.066983000000036</c:v>
                </c:pt>
                <c:pt idx="399">
                  <c:v>40.066983000000036</c:v>
                </c:pt>
                <c:pt idx="400">
                  <c:v>40.066983000000036</c:v>
                </c:pt>
                <c:pt idx="401">
                  <c:v>40.066983000000036</c:v>
                </c:pt>
                <c:pt idx="402">
                  <c:v>40.066983000000036</c:v>
                </c:pt>
                <c:pt idx="403">
                  <c:v>40.066983000000036</c:v>
                </c:pt>
                <c:pt idx="404">
                  <c:v>40.066983000000036</c:v>
                </c:pt>
                <c:pt idx="405">
                  <c:v>40.066983000000036</c:v>
                </c:pt>
                <c:pt idx="406">
                  <c:v>40.066983000000036</c:v>
                </c:pt>
                <c:pt idx="407">
                  <c:v>40.066983000000036</c:v>
                </c:pt>
                <c:pt idx="408">
                  <c:v>40.066983000000036</c:v>
                </c:pt>
                <c:pt idx="409">
                  <c:v>40.066983000000036</c:v>
                </c:pt>
                <c:pt idx="410">
                  <c:v>40.066983000000036</c:v>
                </c:pt>
                <c:pt idx="411">
                  <c:v>40.066983000000036</c:v>
                </c:pt>
                <c:pt idx="412">
                  <c:v>40.066983000000036</c:v>
                </c:pt>
                <c:pt idx="413">
                  <c:v>40.066983000000036</c:v>
                </c:pt>
                <c:pt idx="414">
                  <c:v>40.066983000000036</c:v>
                </c:pt>
                <c:pt idx="415">
                  <c:v>40.066983000000036</c:v>
                </c:pt>
                <c:pt idx="416">
                  <c:v>40.066983000000036</c:v>
                </c:pt>
                <c:pt idx="417">
                  <c:v>40.066983000000036</c:v>
                </c:pt>
                <c:pt idx="418">
                  <c:v>40.066983000000036</c:v>
                </c:pt>
                <c:pt idx="419">
                  <c:v>40.066983000000036</c:v>
                </c:pt>
                <c:pt idx="420">
                  <c:v>40.066983000000036</c:v>
                </c:pt>
                <c:pt idx="421">
                  <c:v>40.066983000000036</c:v>
                </c:pt>
                <c:pt idx="422">
                  <c:v>40.066983000000036</c:v>
                </c:pt>
                <c:pt idx="423">
                  <c:v>40.066983000000036</c:v>
                </c:pt>
                <c:pt idx="424">
                  <c:v>40.066983000000036</c:v>
                </c:pt>
                <c:pt idx="425">
                  <c:v>40.066983000000036</c:v>
                </c:pt>
                <c:pt idx="426">
                  <c:v>40.066983000000036</c:v>
                </c:pt>
                <c:pt idx="427">
                  <c:v>40.066983000000036</c:v>
                </c:pt>
                <c:pt idx="428">
                  <c:v>40.066983000000036</c:v>
                </c:pt>
                <c:pt idx="429">
                  <c:v>40.066983000000036</c:v>
                </c:pt>
                <c:pt idx="430">
                  <c:v>40.066983000000036</c:v>
                </c:pt>
                <c:pt idx="431">
                  <c:v>40.066983000000036</c:v>
                </c:pt>
                <c:pt idx="432">
                  <c:v>40.066983000000036</c:v>
                </c:pt>
                <c:pt idx="433">
                  <c:v>40.066983000000036</c:v>
                </c:pt>
                <c:pt idx="434">
                  <c:v>40.066983000000036</c:v>
                </c:pt>
                <c:pt idx="435">
                  <c:v>40.066983000000036</c:v>
                </c:pt>
                <c:pt idx="436">
                  <c:v>40.066983000000036</c:v>
                </c:pt>
                <c:pt idx="437">
                  <c:v>40.066983000000036</c:v>
                </c:pt>
                <c:pt idx="438">
                  <c:v>40.066983000000036</c:v>
                </c:pt>
                <c:pt idx="439">
                  <c:v>40.066983000000036</c:v>
                </c:pt>
                <c:pt idx="440">
                  <c:v>40.066983000000036</c:v>
                </c:pt>
                <c:pt idx="441">
                  <c:v>40.066983000000036</c:v>
                </c:pt>
                <c:pt idx="442">
                  <c:v>40.066983000000036</c:v>
                </c:pt>
                <c:pt idx="443">
                  <c:v>40.066983000000036</c:v>
                </c:pt>
                <c:pt idx="444">
                  <c:v>40.066983000000036</c:v>
                </c:pt>
                <c:pt idx="445">
                  <c:v>40.066983000000036</c:v>
                </c:pt>
                <c:pt idx="446">
                  <c:v>40.066983000000036</c:v>
                </c:pt>
                <c:pt idx="447">
                  <c:v>40.066983000000036</c:v>
                </c:pt>
                <c:pt idx="448">
                  <c:v>40.066983000000036</c:v>
                </c:pt>
                <c:pt idx="449">
                  <c:v>40.066983000000036</c:v>
                </c:pt>
                <c:pt idx="450">
                  <c:v>40.066983000000036</c:v>
                </c:pt>
                <c:pt idx="451">
                  <c:v>40.066983000000036</c:v>
                </c:pt>
                <c:pt idx="452">
                  <c:v>40.066983000000036</c:v>
                </c:pt>
                <c:pt idx="453">
                  <c:v>40.066983000000036</c:v>
                </c:pt>
                <c:pt idx="454">
                  <c:v>40.066983000000036</c:v>
                </c:pt>
                <c:pt idx="455">
                  <c:v>40.066983000000036</c:v>
                </c:pt>
                <c:pt idx="456">
                  <c:v>40.066983000000036</c:v>
                </c:pt>
                <c:pt idx="457">
                  <c:v>40.066983000000036</c:v>
                </c:pt>
                <c:pt idx="458">
                  <c:v>40.066983000000036</c:v>
                </c:pt>
                <c:pt idx="459">
                  <c:v>40.066983000000036</c:v>
                </c:pt>
                <c:pt idx="460">
                  <c:v>40.066983000000036</c:v>
                </c:pt>
                <c:pt idx="461">
                  <c:v>40.066983000000036</c:v>
                </c:pt>
                <c:pt idx="462">
                  <c:v>40.066983000000036</c:v>
                </c:pt>
                <c:pt idx="463">
                  <c:v>40.066983000000036</c:v>
                </c:pt>
                <c:pt idx="464">
                  <c:v>40.066983000000036</c:v>
                </c:pt>
                <c:pt idx="465">
                  <c:v>40.066983000000036</c:v>
                </c:pt>
                <c:pt idx="466">
                  <c:v>40.066983000000036</c:v>
                </c:pt>
                <c:pt idx="467">
                  <c:v>40.066983000000036</c:v>
                </c:pt>
                <c:pt idx="468">
                  <c:v>40.066983000000036</c:v>
                </c:pt>
                <c:pt idx="469">
                  <c:v>40.066983000000036</c:v>
                </c:pt>
                <c:pt idx="470">
                  <c:v>40.066983000000036</c:v>
                </c:pt>
                <c:pt idx="471">
                  <c:v>40.066983000000036</c:v>
                </c:pt>
                <c:pt idx="472">
                  <c:v>40.066983000000036</c:v>
                </c:pt>
                <c:pt idx="473">
                  <c:v>40.066983000000036</c:v>
                </c:pt>
                <c:pt idx="474">
                  <c:v>40.066983000000036</c:v>
                </c:pt>
                <c:pt idx="475">
                  <c:v>40.066983000000036</c:v>
                </c:pt>
                <c:pt idx="476">
                  <c:v>40.066983000000036</c:v>
                </c:pt>
                <c:pt idx="477">
                  <c:v>40.066983000000036</c:v>
                </c:pt>
                <c:pt idx="478">
                  <c:v>40.066983000000036</c:v>
                </c:pt>
                <c:pt idx="479">
                  <c:v>40.066983000000036</c:v>
                </c:pt>
                <c:pt idx="480">
                  <c:v>40.066983000000036</c:v>
                </c:pt>
                <c:pt idx="481">
                  <c:v>40.066983000000036</c:v>
                </c:pt>
                <c:pt idx="482">
                  <c:v>40.066983000000036</c:v>
                </c:pt>
                <c:pt idx="483">
                  <c:v>40.066983000000036</c:v>
                </c:pt>
                <c:pt idx="484">
                  <c:v>40.066983000000036</c:v>
                </c:pt>
                <c:pt idx="485">
                  <c:v>40.066983000000036</c:v>
                </c:pt>
                <c:pt idx="486">
                  <c:v>40.066983000000036</c:v>
                </c:pt>
                <c:pt idx="487">
                  <c:v>40.066983000000036</c:v>
                </c:pt>
                <c:pt idx="488">
                  <c:v>40.066983000000036</c:v>
                </c:pt>
                <c:pt idx="489">
                  <c:v>40.066983000000036</c:v>
                </c:pt>
                <c:pt idx="490">
                  <c:v>40.066983000000036</c:v>
                </c:pt>
                <c:pt idx="491">
                  <c:v>40.066983000000036</c:v>
                </c:pt>
                <c:pt idx="492">
                  <c:v>40.066983000000036</c:v>
                </c:pt>
                <c:pt idx="493">
                  <c:v>40.066983000000036</c:v>
                </c:pt>
                <c:pt idx="494">
                  <c:v>40.066983000000036</c:v>
                </c:pt>
                <c:pt idx="495">
                  <c:v>40.066983000000036</c:v>
                </c:pt>
                <c:pt idx="496">
                  <c:v>40.066983000000036</c:v>
                </c:pt>
                <c:pt idx="497">
                  <c:v>40.066983000000036</c:v>
                </c:pt>
                <c:pt idx="498">
                  <c:v>40.066983000000036</c:v>
                </c:pt>
                <c:pt idx="499">
                  <c:v>40.066983000000036</c:v>
                </c:pt>
                <c:pt idx="500">
                  <c:v>40.066983000000036</c:v>
                </c:pt>
                <c:pt idx="501">
                  <c:v>40.066983000000036</c:v>
                </c:pt>
                <c:pt idx="502">
                  <c:v>40.066983000000036</c:v>
                </c:pt>
                <c:pt idx="503">
                  <c:v>40.066983000000036</c:v>
                </c:pt>
                <c:pt idx="504">
                  <c:v>40.066983000000036</c:v>
                </c:pt>
                <c:pt idx="505">
                  <c:v>40.066983000000036</c:v>
                </c:pt>
                <c:pt idx="506">
                  <c:v>40.066983000000036</c:v>
                </c:pt>
                <c:pt idx="507">
                  <c:v>40.066983000000036</c:v>
                </c:pt>
                <c:pt idx="508">
                  <c:v>40.066983000000036</c:v>
                </c:pt>
                <c:pt idx="509">
                  <c:v>40.066983000000036</c:v>
                </c:pt>
                <c:pt idx="510">
                  <c:v>40.066983000000036</c:v>
                </c:pt>
                <c:pt idx="511">
                  <c:v>40.066983000000036</c:v>
                </c:pt>
                <c:pt idx="512">
                  <c:v>40.066983000000036</c:v>
                </c:pt>
                <c:pt idx="513">
                  <c:v>40.066983000000036</c:v>
                </c:pt>
                <c:pt idx="514">
                  <c:v>40.066983000000036</c:v>
                </c:pt>
                <c:pt idx="515">
                  <c:v>40.066983000000036</c:v>
                </c:pt>
                <c:pt idx="516">
                  <c:v>40.066983000000036</c:v>
                </c:pt>
                <c:pt idx="517">
                  <c:v>40.066983000000036</c:v>
                </c:pt>
                <c:pt idx="518">
                  <c:v>40.066983000000036</c:v>
                </c:pt>
                <c:pt idx="519">
                  <c:v>40.066983000000036</c:v>
                </c:pt>
                <c:pt idx="520">
                  <c:v>40.066983000000036</c:v>
                </c:pt>
                <c:pt idx="521">
                  <c:v>40.066983000000036</c:v>
                </c:pt>
                <c:pt idx="522">
                  <c:v>40.066983000000036</c:v>
                </c:pt>
                <c:pt idx="523">
                  <c:v>40.066983000000036</c:v>
                </c:pt>
                <c:pt idx="524">
                  <c:v>40.066983000000036</c:v>
                </c:pt>
                <c:pt idx="525">
                  <c:v>40.066983000000036</c:v>
                </c:pt>
                <c:pt idx="526">
                  <c:v>40.066983000000036</c:v>
                </c:pt>
                <c:pt idx="527">
                  <c:v>40.066983000000036</c:v>
                </c:pt>
                <c:pt idx="528">
                  <c:v>40.066983000000036</c:v>
                </c:pt>
                <c:pt idx="529">
                  <c:v>40.066983000000036</c:v>
                </c:pt>
                <c:pt idx="530">
                  <c:v>40.066983000000036</c:v>
                </c:pt>
                <c:pt idx="531">
                  <c:v>40.066983000000036</c:v>
                </c:pt>
                <c:pt idx="532">
                  <c:v>40.066983000000036</c:v>
                </c:pt>
                <c:pt idx="533">
                  <c:v>40.066983000000036</c:v>
                </c:pt>
                <c:pt idx="534">
                  <c:v>40.066983000000036</c:v>
                </c:pt>
                <c:pt idx="535">
                  <c:v>40.066983000000036</c:v>
                </c:pt>
                <c:pt idx="536">
                  <c:v>40.066983000000036</c:v>
                </c:pt>
                <c:pt idx="537">
                  <c:v>40.066983000000036</c:v>
                </c:pt>
                <c:pt idx="538">
                  <c:v>40.066983000000036</c:v>
                </c:pt>
                <c:pt idx="539">
                  <c:v>40.066983000000036</c:v>
                </c:pt>
                <c:pt idx="540">
                  <c:v>40.066983000000036</c:v>
                </c:pt>
                <c:pt idx="541">
                  <c:v>40.066983000000036</c:v>
                </c:pt>
                <c:pt idx="542">
                  <c:v>40.066983000000036</c:v>
                </c:pt>
                <c:pt idx="543">
                  <c:v>40.066983000000036</c:v>
                </c:pt>
                <c:pt idx="544">
                  <c:v>40.066983000000036</c:v>
                </c:pt>
                <c:pt idx="545">
                  <c:v>40.066983000000036</c:v>
                </c:pt>
                <c:pt idx="546">
                  <c:v>40.066983000000036</c:v>
                </c:pt>
                <c:pt idx="547">
                  <c:v>40.066983000000036</c:v>
                </c:pt>
                <c:pt idx="548">
                  <c:v>40.066983000000036</c:v>
                </c:pt>
                <c:pt idx="549">
                  <c:v>40.066983000000036</c:v>
                </c:pt>
                <c:pt idx="550">
                  <c:v>40.066983000000036</c:v>
                </c:pt>
                <c:pt idx="551">
                  <c:v>40.066983000000036</c:v>
                </c:pt>
                <c:pt idx="552">
                  <c:v>40.066983000000036</c:v>
                </c:pt>
                <c:pt idx="553">
                  <c:v>40.066983000000036</c:v>
                </c:pt>
                <c:pt idx="554">
                  <c:v>40.066983000000036</c:v>
                </c:pt>
                <c:pt idx="555">
                  <c:v>40.066983000000036</c:v>
                </c:pt>
                <c:pt idx="556">
                  <c:v>40.066983000000036</c:v>
                </c:pt>
                <c:pt idx="557">
                  <c:v>40.066983000000036</c:v>
                </c:pt>
                <c:pt idx="558">
                  <c:v>40.066983000000036</c:v>
                </c:pt>
                <c:pt idx="559">
                  <c:v>40.066983000000036</c:v>
                </c:pt>
                <c:pt idx="560">
                  <c:v>40.066983000000036</c:v>
                </c:pt>
                <c:pt idx="561">
                  <c:v>40.066983000000036</c:v>
                </c:pt>
                <c:pt idx="562">
                  <c:v>40.066983000000036</c:v>
                </c:pt>
                <c:pt idx="563">
                  <c:v>40.066983000000036</c:v>
                </c:pt>
                <c:pt idx="564">
                  <c:v>40.066983000000036</c:v>
                </c:pt>
                <c:pt idx="565">
                  <c:v>40.066983000000036</c:v>
                </c:pt>
                <c:pt idx="566">
                  <c:v>40.066983000000036</c:v>
                </c:pt>
                <c:pt idx="567">
                  <c:v>40.066983000000036</c:v>
                </c:pt>
                <c:pt idx="568">
                  <c:v>40.066983000000036</c:v>
                </c:pt>
                <c:pt idx="569">
                  <c:v>40.066983000000036</c:v>
                </c:pt>
                <c:pt idx="570">
                  <c:v>40.066983000000036</c:v>
                </c:pt>
                <c:pt idx="571">
                  <c:v>40.066983000000036</c:v>
                </c:pt>
                <c:pt idx="572">
                  <c:v>40.066983000000036</c:v>
                </c:pt>
                <c:pt idx="573">
                  <c:v>40.066983000000036</c:v>
                </c:pt>
                <c:pt idx="574">
                  <c:v>40.066983000000036</c:v>
                </c:pt>
                <c:pt idx="575">
                  <c:v>40.066983000000036</c:v>
                </c:pt>
                <c:pt idx="576">
                  <c:v>40.066983000000036</c:v>
                </c:pt>
                <c:pt idx="577">
                  <c:v>40.066983000000036</c:v>
                </c:pt>
                <c:pt idx="578">
                  <c:v>40.066983000000036</c:v>
                </c:pt>
                <c:pt idx="579">
                  <c:v>40.066983000000036</c:v>
                </c:pt>
                <c:pt idx="580">
                  <c:v>40.066983000000036</c:v>
                </c:pt>
                <c:pt idx="581">
                  <c:v>40.066983000000036</c:v>
                </c:pt>
                <c:pt idx="582">
                  <c:v>40.066983000000036</c:v>
                </c:pt>
                <c:pt idx="583">
                  <c:v>40.066983000000036</c:v>
                </c:pt>
                <c:pt idx="584">
                  <c:v>40.066983000000036</c:v>
                </c:pt>
                <c:pt idx="585">
                  <c:v>40.066983000000036</c:v>
                </c:pt>
                <c:pt idx="586">
                  <c:v>40.066983000000036</c:v>
                </c:pt>
                <c:pt idx="587">
                  <c:v>40.066983000000036</c:v>
                </c:pt>
                <c:pt idx="588">
                  <c:v>40.066983000000036</c:v>
                </c:pt>
                <c:pt idx="589">
                  <c:v>40.066983000000036</c:v>
                </c:pt>
                <c:pt idx="590">
                  <c:v>40.066983000000036</c:v>
                </c:pt>
                <c:pt idx="591">
                  <c:v>40.066983000000036</c:v>
                </c:pt>
                <c:pt idx="592">
                  <c:v>40.066983000000036</c:v>
                </c:pt>
                <c:pt idx="593">
                  <c:v>40.066983000000036</c:v>
                </c:pt>
                <c:pt idx="594">
                  <c:v>40.066983000000036</c:v>
                </c:pt>
                <c:pt idx="595">
                  <c:v>40.066983000000036</c:v>
                </c:pt>
                <c:pt idx="596">
                  <c:v>40.066983000000036</c:v>
                </c:pt>
                <c:pt idx="597">
                  <c:v>40.066983000000036</c:v>
                </c:pt>
                <c:pt idx="598">
                  <c:v>40.066983000000036</c:v>
                </c:pt>
                <c:pt idx="599">
                  <c:v>40.066983000000036</c:v>
                </c:pt>
                <c:pt idx="600">
                  <c:v>40.066983000000036</c:v>
                </c:pt>
                <c:pt idx="601">
                  <c:v>40.066983000000036</c:v>
                </c:pt>
                <c:pt idx="602">
                  <c:v>40.066983000000036</c:v>
                </c:pt>
                <c:pt idx="603">
                  <c:v>40.066983000000036</c:v>
                </c:pt>
                <c:pt idx="604">
                  <c:v>40.066983000000036</c:v>
                </c:pt>
                <c:pt idx="605">
                  <c:v>40.066983000000036</c:v>
                </c:pt>
                <c:pt idx="606">
                  <c:v>40.066983000000036</c:v>
                </c:pt>
                <c:pt idx="607">
                  <c:v>40.066983000000036</c:v>
                </c:pt>
                <c:pt idx="608">
                  <c:v>40.066983000000036</c:v>
                </c:pt>
                <c:pt idx="609">
                  <c:v>40.066983000000036</c:v>
                </c:pt>
                <c:pt idx="610">
                  <c:v>40.066983000000036</c:v>
                </c:pt>
                <c:pt idx="611">
                  <c:v>40.066983000000036</c:v>
                </c:pt>
                <c:pt idx="612">
                  <c:v>40.066983000000036</c:v>
                </c:pt>
                <c:pt idx="613">
                  <c:v>40.066983000000036</c:v>
                </c:pt>
                <c:pt idx="614">
                  <c:v>40.066983000000036</c:v>
                </c:pt>
                <c:pt idx="615">
                  <c:v>40.066983000000036</c:v>
                </c:pt>
                <c:pt idx="616">
                  <c:v>40.066983000000036</c:v>
                </c:pt>
                <c:pt idx="617">
                  <c:v>40.066983000000036</c:v>
                </c:pt>
                <c:pt idx="618">
                  <c:v>40.066983000000036</c:v>
                </c:pt>
                <c:pt idx="619">
                  <c:v>40.066983000000036</c:v>
                </c:pt>
                <c:pt idx="620">
                  <c:v>40.066983000000036</c:v>
                </c:pt>
                <c:pt idx="621">
                  <c:v>40.066983000000036</c:v>
                </c:pt>
                <c:pt idx="622">
                  <c:v>40.066983000000036</c:v>
                </c:pt>
                <c:pt idx="623">
                  <c:v>40.066983000000036</c:v>
                </c:pt>
                <c:pt idx="624">
                  <c:v>40.066983000000036</c:v>
                </c:pt>
                <c:pt idx="625">
                  <c:v>40.066983000000036</c:v>
                </c:pt>
                <c:pt idx="626">
                  <c:v>40.066983000000036</c:v>
                </c:pt>
                <c:pt idx="627">
                  <c:v>40.066983000000036</c:v>
                </c:pt>
                <c:pt idx="628">
                  <c:v>40.066983000000036</c:v>
                </c:pt>
                <c:pt idx="629">
                  <c:v>40.066983000000036</c:v>
                </c:pt>
                <c:pt idx="630">
                  <c:v>40.066983000000036</c:v>
                </c:pt>
                <c:pt idx="631">
                  <c:v>40.066983000000036</c:v>
                </c:pt>
                <c:pt idx="632">
                  <c:v>40.066983000000036</c:v>
                </c:pt>
                <c:pt idx="633">
                  <c:v>40.066983000000036</c:v>
                </c:pt>
                <c:pt idx="634">
                  <c:v>40.066983000000036</c:v>
                </c:pt>
                <c:pt idx="635">
                  <c:v>40.066983000000036</c:v>
                </c:pt>
                <c:pt idx="636">
                  <c:v>40.066983000000036</c:v>
                </c:pt>
                <c:pt idx="637">
                  <c:v>40.066983000000036</c:v>
                </c:pt>
                <c:pt idx="638">
                  <c:v>40.066983000000036</c:v>
                </c:pt>
                <c:pt idx="639">
                  <c:v>40.066983000000036</c:v>
                </c:pt>
                <c:pt idx="640">
                  <c:v>40.066983000000036</c:v>
                </c:pt>
                <c:pt idx="641">
                  <c:v>40.066983000000036</c:v>
                </c:pt>
                <c:pt idx="642">
                  <c:v>40.066983000000036</c:v>
                </c:pt>
                <c:pt idx="643">
                  <c:v>40.066983000000036</c:v>
                </c:pt>
                <c:pt idx="644">
                  <c:v>40.066983000000036</c:v>
                </c:pt>
                <c:pt idx="645">
                  <c:v>40.066983000000036</c:v>
                </c:pt>
                <c:pt idx="646">
                  <c:v>40.066983000000036</c:v>
                </c:pt>
                <c:pt idx="647">
                  <c:v>40.066983000000036</c:v>
                </c:pt>
                <c:pt idx="648">
                  <c:v>40.066983000000036</c:v>
                </c:pt>
                <c:pt idx="649">
                  <c:v>40.066983000000036</c:v>
                </c:pt>
                <c:pt idx="650">
                  <c:v>40.066983000000036</c:v>
                </c:pt>
                <c:pt idx="651">
                  <c:v>40.066983000000036</c:v>
                </c:pt>
                <c:pt idx="652">
                  <c:v>40.066983000000036</c:v>
                </c:pt>
                <c:pt idx="653">
                  <c:v>40.066983000000036</c:v>
                </c:pt>
                <c:pt idx="654">
                  <c:v>40.066983000000036</c:v>
                </c:pt>
                <c:pt idx="655">
                  <c:v>40.066983000000036</c:v>
                </c:pt>
                <c:pt idx="656">
                  <c:v>40.066983000000036</c:v>
                </c:pt>
                <c:pt idx="657">
                  <c:v>40.066983000000036</c:v>
                </c:pt>
                <c:pt idx="658">
                  <c:v>40.066983000000036</c:v>
                </c:pt>
                <c:pt idx="659">
                  <c:v>40.066983000000036</c:v>
                </c:pt>
                <c:pt idx="660">
                  <c:v>40.066983000000036</c:v>
                </c:pt>
                <c:pt idx="661">
                  <c:v>40.066983000000036</c:v>
                </c:pt>
                <c:pt idx="662">
                  <c:v>40.066983000000036</c:v>
                </c:pt>
                <c:pt idx="663">
                  <c:v>40.066983000000036</c:v>
                </c:pt>
                <c:pt idx="664">
                  <c:v>40.066983000000036</c:v>
                </c:pt>
                <c:pt idx="665">
                  <c:v>40.066983000000036</c:v>
                </c:pt>
                <c:pt idx="666">
                  <c:v>40.066983000000036</c:v>
                </c:pt>
                <c:pt idx="667">
                  <c:v>40.066983000000036</c:v>
                </c:pt>
                <c:pt idx="668">
                  <c:v>40.066983000000036</c:v>
                </c:pt>
                <c:pt idx="669">
                  <c:v>40.066983000000036</c:v>
                </c:pt>
                <c:pt idx="670">
                  <c:v>40.066983000000036</c:v>
                </c:pt>
                <c:pt idx="671">
                  <c:v>40.066983000000036</c:v>
                </c:pt>
                <c:pt idx="672">
                  <c:v>40.066983000000036</c:v>
                </c:pt>
                <c:pt idx="673">
                  <c:v>40.066983000000036</c:v>
                </c:pt>
                <c:pt idx="674">
                  <c:v>40.066983000000036</c:v>
                </c:pt>
                <c:pt idx="675">
                  <c:v>40.066983000000036</c:v>
                </c:pt>
                <c:pt idx="676">
                  <c:v>40.066983000000036</c:v>
                </c:pt>
                <c:pt idx="677">
                  <c:v>40.066983000000036</c:v>
                </c:pt>
                <c:pt idx="678">
                  <c:v>40.066983000000036</c:v>
                </c:pt>
                <c:pt idx="679">
                  <c:v>40.066983000000036</c:v>
                </c:pt>
                <c:pt idx="680">
                  <c:v>40.066983000000036</c:v>
                </c:pt>
                <c:pt idx="681">
                  <c:v>40.066983000000036</c:v>
                </c:pt>
                <c:pt idx="682">
                  <c:v>40.066983000000036</c:v>
                </c:pt>
                <c:pt idx="683">
                  <c:v>40.066983000000036</c:v>
                </c:pt>
                <c:pt idx="684">
                  <c:v>40.066983000000036</c:v>
                </c:pt>
                <c:pt idx="685">
                  <c:v>40.066983000000036</c:v>
                </c:pt>
                <c:pt idx="686">
                  <c:v>40.066983000000036</c:v>
                </c:pt>
                <c:pt idx="687">
                  <c:v>40.066983000000036</c:v>
                </c:pt>
                <c:pt idx="688">
                  <c:v>40.066983000000036</c:v>
                </c:pt>
                <c:pt idx="689">
                  <c:v>40.066983000000036</c:v>
                </c:pt>
                <c:pt idx="690">
                  <c:v>40.066983000000036</c:v>
                </c:pt>
                <c:pt idx="691">
                  <c:v>40.066983000000036</c:v>
                </c:pt>
                <c:pt idx="692">
                  <c:v>40.066983000000036</c:v>
                </c:pt>
                <c:pt idx="693">
                  <c:v>40.066983000000036</c:v>
                </c:pt>
                <c:pt idx="694">
                  <c:v>40.066983000000036</c:v>
                </c:pt>
                <c:pt idx="695">
                  <c:v>40.066983000000036</c:v>
                </c:pt>
                <c:pt idx="696">
                  <c:v>40.066983000000036</c:v>
                </c:pt>
                <c:pt idx="697">
                  <c:v>40.066983000000036</c:v>
                </c:pt>
                <c:pt idx="698">
                  <c:v>40.066983000000036</c:v>
                </c:pt>
                <c:pt idx="699">
                  <c:v>40.066983000000036</c:v>
                </c:pt>
                <c:pt idx="700">
                  <c:v>40.066983000000036</c:v>
                </c:pt>
                <c:pt idx="701">
                  <c:v>40.066983000000036</c:v>
                </c:pt>
                <c:pt idx="702">
                  <c:v>40.066983000000036</c:v>
                </c:pt>
                <c:pt idx="703">
                  <c:v>40.066983000000036</c:v>
                </c:pt>
                <c:pt idx="704">
                  <c:v>40.066983000000036</c:v>
                </c:pt>
                <c:pt idx="705">
                  <c:v>40.066983000000036</c:v>
                </c:pt>
                <c:pt idx="706">
                  <c:v>40.066983000000036</c:v>
                </c:pt>
                <c:pt idx="707">
                  <c:v>40.066983000000036</c:v>
                </c:pt>
                <c:pt idx="708">
                  <c:v>40.066983000000036</c:v>
                </c:pt>
                <c:pt idx="709">
                  <c:v>40.066983000000036</c:v>
                </c:pt>
                <c:pt idx="710">
                  <c:v>40.066983000000036</c:v>
                </c:pt>
                <c:pt idx="711">
                  <c:v>40.066983000000036</c:v>
                </c:pt>
                <c:pt idx="712">
                  <c:v>40.066983000000036</c:v>
                </c:pt>
                <c:pt idx="713">
                  <c:v>40.066983000000036</c:v>
                </c:pt>
                <c:pt idx="714">
                  <c:v>40.066983000000036</c:v>
                </c:pt>
                <c:pt idx="715">
                  <c:v>40.066983000000036</c:v>
                </c:pt>
                <c:pt idx="716">
                  <c:v>40.066983000000036</c:v>
                </c:pt>
                <c:pt idx="717">
                  <c:v>40.066983000000036</c:v>
                </c:pt>
                <c:pt idx="718">
                  <c:v>40.066983000000036</c:v>
                </c:pt>
                <c:pt idx="719">
                  <c:v>40.066983000000036</c:v>
                </c:pt>
                <c:pt idx="720">
                  <c:v>40.066983000000036</c:v>
                </c:pt>
                <c:pt idx="721">
                  <c:v>40.066983000000036</c:v>
                </c:pt>
                <c:pt idx="722">
                  <c:v>40.066983000000036</c:v>
                </c:pt>
                <c:pt idx="723">
                  <c:v>40.066983000000036</c:v>
                </c:pt>
                <c:pt idx="724">
                  <c:v>40.066983000000036</c:v>
                </c:pt>
                <c:pt idx="725">
                  <c:v>40.066983000000036</c:v>
                </c:pt>
                <c:pt idx="726">
                  <c:v>40.066983000000036</c:v>
                </c:pt>
                <c:pt idx="727">
                  <c:v>40.066983000000036</c:v>
                </c:pt>
                <c:pt idx="728">
                  <c:v>40.066983000000036</c:v>
                </c:pt>
                <c:pt idx="729">
                  <c:v>40.066983000000036</c:v>
                </c:pt>
                <c:pt idx="730">
                  <c:v>40.066983000000036</c:v>
                </c:pt>
                <c:pt idx="731">
                  <c:v>40.066983000000036</c:v>
                </c:pt>
                <c:pt idx="732">
                  <c:v>40.066983000000036</c:v>
                </c:pt>
                <c:pt idx="733">
                  <c:v>40.066983000000036</c:v>
                </c:pt>
                <c:pt idx="734">
                  <c:v>40.066983000000036</c:v>
                </c:pt>
                <c:pt idx="735">
                  <c:v>40.066983000000036</c:v>
                </c:pt>
                <c:pt idx="736">
                  <c:v>40.066983000000036</c:v>
                </c:pt>
                <c:pt idx="737">
                  <c:v>40.066983000000036</c:v>
                </c:pt>
                <c:pt idx="738">
                  <c:v>40.066983000000036</c:v>
                </c:pt>
                <c:pt idx="739">
                  <c:v>40.066983000000036</c:v>
                </c:pt>
                <c:pt idx="740">
                  <c:v>40.066983000000036</c:v>
                </c:pt>
                <c:pt idx="741">
                  <c:v>40.066983000000036</c:v>
                </c:pt>
                <c:pt idx="742">
                  <c:v>40.066983000000036</c:v>
                </c:pt>
                <c:pt idx="743">
                  <c:v>40.066983000000036</c:v>
                </c:pt>
                <c:pt idx="744">
                  <c:v>40.066983000000036</c:v>
                </c:pt>
                <c:pt idx="745">
                  <c:v>40.066983000000036</c:v>
                </c:pt>
                <c:pt idx="746">
                  <c:v>40.066983000000036</c:v>
                </c:pt>
                <c:pt idx="747">
                  <c:v>40.066983000000036</c:v>
                </c:pt>
                <c:pt idx="748">
                  <c:v>40.066983000000036</c:v>
                </c:pt>
                <c:pt idx="749">
                  <c:v>40.066983000000036</c:v>
                </c:pt>
                <c:pt idx="750">
                  <c:v>40.066983000000036</c:v>
                </c:pt>
                <c:pt idx="751">
                  <c:v>40.066983000000036</c:v>
                </c:pt>
                <c:pt idx="752">
                  <c:v>40.066983000000036</c:v>
                </c:pt>
                <c:pt idx="753">
                  <c:v>40.066983000000036</c:v>
                </c:pt>
                <c:pt idx="754">
                  <c:v>40.066983000000036</c:v>
                </c:pt>
                <c:pt idx="755">
                  <c:v>40.066983000000036</c:v>
                </c:pt>
                <c:pt idx="756">
                  <c:v>40.066983000000036</c:v>
                </c:pt>
                <c:pt idx="757">
                  <c:v>40.066983000000036</c:v>
                </c:pt>
                <c:pt idx="758">
                  <c:v>40.066983000000036</c:v>
                </c:pt>
                <c:pt idx="759">
                  <c:v>40.066983000000036</c:v>
                </c:pt>
                <c:pt idx="760">
                  <c:v>40.066983000000036</c:v>
                </c:pt>
                <c:pt idx="761">
                  <c:v>40.066983000000036</c:v>
                </c:pt>
                <c:pt idx="762">
                  <c:v>40.066983000000036</c:v>
                </c:pt>
                <c:pt idx="763">
                  <c:v>40.066983000000036</c:v>
                </c:pt>
                <c:pt idx="764">
                  <c:v>40.066983000000036</c:v>
                </c:pt>
                <c:pt idx="765">
                  <c:v>40.066983000000036</c:v>
                </c:pt>
                <c:pt idx="766">
                  <c:v>40.066983000000036</c:v>
                </c:pt>
                <c:pt idx="767">
                  <c:v>40.066983000000036</c:v>
                </c:pt>
                <c:pt idx="768">
                  <c:v>40.066983000000036</c:v>
                </c:pt>
                <c:pt idx="769">
                  <c:v>40.066983000000036</c:v>
                </c:pt>
                <c:pt idx="770">
                  <c:v>40.066983000000036</c:v>
                </c:pt>
                <c:pt idx="771">
                  <c:v>40.066983000000036</c:v>
                </c:pt>
                <c:pt idx="772">
                  <c:v>40.066983000000036</c:v>
                </c:pt>
                <c:pt idx="773">
                  <c:v>40.066983000000036</c:v>
                </c:pt>
                <c:pt idx="774">
                  <c:v>40.066983000000036</c:v>
                </c:pt>
                <c:pt idx="775">
                  <c:v>40.066983000000036</c:v>
                </c:pt>
                <c:pt idx="776">
                  <c:v>40.066983000000036</c:v>
                </c:pt>
                <c:pt idx="777">
                  <c:v>40.066983000000036</c:v>
                </c:pt>
                <c:pt idx="778">
                  <c:v>40.066983000000036</c:v>
                </c:pt>
                <c:pt idx="779">
                  <c:v>40.066983000000036</c:v>
                </c:pt>
                <c:pt idx="780">
                  <c:v>40.066983000000036</c:v>
                </c:pt>
                <c:pt idx="781">
                  <c:v>40.066983000000036</c:v>
                </c:pt>
                <c:pt idx="782">
                  <c:v>40.066983000000036</c:v>
                </c:pt>
                <c:pt idx="783">
                  <c:v>40.066983000000036</c:v>
                </c:pt>
                <c:pt idx="784">
                  <c:v>40.066983000000036</c:v>
                </c:pt>
                <c:pt idx="785">
                  <c:v>40.066983000000036</c:v>
                </c:pt>
                <c:pt idx="786">
                  <c:v>40.066983000000036</c:v>
                </c:pt>
                <c:pt idx="787">
                  <c:v>40.066983000000036</c:v>
                </c:pt>
                <c:pt idx="788">
                  <c:v>40.066983000000036</c:v>
                </c:pt>
                <c:pt idx="789">
                  <c:v>40.066983000000036</c:v>
                </c:pt>
                <c:pt idx="790">
                  <c:v>40.066983000000036</c:v>
                </c:pt>
                <c:pt idx="791">
                  <c:v>40.066983000000036</c:v>
                </c:pt>
                <c:pt idx="792">
                  <c:v>40.066983000000036</c:v>
                </c:pt>
                <c:pt idx="793">
                  <c:v>40.066983000000036</c:v>
                </c:pt>
                <c:pt idx="794">
                  <c:v>40.066983000000036</c:v>
                </c:pt>
                <c:pt idx="795">
                  <c:v>40.066983000000036</c:v>
                </c:pt>
                <c:pt idx="796">
                  <c:v>40.066983000000036</c:v>
                </c:pt>
                <c:pt idx="797">
                  <c:v>40.066983000000036</c:v>
                </c:pt>
                <c:pt idx="798">
                  <c:v>40.066983000000036</c:v>
                </c:pt>
                <c:pt idx="799">
                  <c:v>40.066983000000036</c:v>
                </c:pt>
                <c:pt idx="800">
                  <c:v>40.066983000000036</c:v>
                </c:pt>
                <c:pt idx="801">
                  <c:v>40.066983000000036</c:v>
                </c:pt>
                <c:pt idx="802">
                  <c:v>40.066983000000036</c:v>
                </c:pt>
                <c:pt idx="803">
                  <c:v>40.066983000000036</c:v>
                </c:pt>
                <c:pt idx="804">
                  <c:v>40.066983000000036</c:v>
                </c:pt>
                <c:pt idx="805">
                  <c:v>40.066983000000036</c:v>
                </c:pt>
                <c:pt idx="806">
                  <c:v>40.066983000000036</c:v>
                </c:pt>
                <c:pt idx="807">
                  <c:v>40.066983000000036</c:v>
                </c:pt>
                <c:pt idx="808">
                  <c:v>40.066983000000036</c:v>
                </c:pt>
                <c:pt idx="809">
                  <c:v>40.066983000000036</c:v>
                </c:pt>
                <c:pt idx="810">
                  <c:v>40.066983000000036</c:v>
                </c:pt>
                <c:pt idx="811">
                  <c:v>40.066983000000036</c:v>
                </c:pt>
                <c:pt idx="812">
                  <c:v>40.066983000000036</c:v>
                </c:pt>
                <c:pt idx="813">
                  <c:v>40.066983000000036</c:v>
                </c:pt>
                <c:pt idx="814">
                  <c:v>40.066983000000036</c:v>
                </c:pt>
                <c:pt idx="815">
                  <c:v>40.066983000000036</c:v>
                </c:pt>
                <c:pt idx="816">
                  <c:v>40.066983000000036</c:v>
                </c:pt>
                <c:pt idx="817">
                  <c:v>40.066983000000036</c:v>
                </c:pt>
                <c:pt idx="818">
                  <c:v>40.066983000000036</c:v>
                </c:pt>
                <c:pt idx="819">
                  <c:v>40.066983000000036</c:v>
                </c:pt>
                <c:pt idx="820">
                  <c:v>40.066983000000036</c:v>
                </c:pt>
                <c:pt idx="821">
                  <c:v>40.066983000000036</c:v>
                </c:pt>
                <c:pt idx="822">
                  <c:v>40.066983000000036</c:v>
                </c:pt>
                <c:pt idx="823">
                  <c:v>40.066983000000036</c:v>
                </c:pt>
                <c:pt idx="824">
                  <c:v>40.066983000000036</c:v>
                </c:pt>
                <c:pt idx="825">
                  <c:v>40.066983000000036</c:v>
                </c:pt>
                <c:pt idx="826">
                  <c:v>40.066983000000036</c:v>
                </c:pt>
                <c:pt idx="827">
                  <c:v>40.066983000000036</c:v>
                </c:pt>
                <c:pt idx="828">
                  <c:v>40.066983000000036</c:v>
                </c:pt>
                <c:pt idx="829">
                  <c:v>40.066983000000036</c:v>
                </c:pt>
                <c:pt idx="830">
                  <c:v>40.066983000000036</c:v>
                </c:pt>
                <c:pt idx="831">
                  <c:v>40.066983000000036</c:v>
                </c:pt>
                <c:pt idx="832">
                  <c:v>40.066983000000036</c:v>
                </c:pt>
                <c:pt idx="833">
                  <c:v>40.066983000000036</c:v>
                </c:pt>
                <c:pt idx="834">
                  <c:v>40.066983000000036</c:v>
                </c:pt>
                <c:pt idx="835">
                  <c:v>40.066983000000036</c:v>
                </c:pt>
                <c:pt idx="836">
                  <c:v>40.066983000000036</c:v>
                </c:pt>
                <c:pt idx="837">
                  <c:v>40.066983000000036</c:v>
                </c:pt>
                <c:pt idx="838">
                  <c:v>40.066983000000036</c:v>
                </c:pt>
                <c:pt idx="839">
                  <c:v>40.066983000000036</c:v>
                </c:pt>
                <c:pt idx="840">
                  <c:v>40.066983000000036</c:v>
                </c:pt>
                <c:pt idx="841">
                  <c:v>40.066983000000036</c:v>
                </c:pt>
                <c:pt idx="842">
                  <c:v>40.066983000000036</c:v>
                </c:pt>
                <c:pt idx="843">
                  <c:v>40.066983000000036</c:v>
                </c:pt>
                <c:pt idx="844">
                  <c:v>40.066983000000036</c:v>
                </c:pt>
                <c:pt idx="845">
                  <c:v>40.066983000000036</c:v>
                </c:pt>
                <c:pt idx="846">
                  <c:v>40.066983000000036</c:v>
                </c:pt>
                <c:pt idx="847">
                  <c:v>40.066983000000036</c:v>
                </c:pt>
                <c:pt idx="848">
                  <c:v>40.066983000000036</c:v>
                </c:pt>
                <c:pt idx="849">
                  <c:v>40.066983000000036</c:v>
                </c:pt>
                <c:pt idx="850">
                  <c:v>40.066983000000036</c:v>
                </c:pt>
                <c:pt idx="851">
                  <c:v>40.066983000000036</c:v>
                </c:pt>
                <c:pt idx="852">
                  <c:v>40.066983000000036</c:v>
                </c:pt>
                <c:pt idx="853">
                  <c:v>40.066983000000036</c:v>
                </c:pt>
                <c:pt idx="854">
                  <c:v>40.066983000000036</c:v>
                </c:pt>
                <c:pt idx="855">
                  <c:v>40.066983000000036</c:v>
                </c:pt>
                <c:pt idx="856">
                  <c:v>40.066983000000036</c:v>
                </c:pt>
                <c:pt idx="857">
                  <c:v>40.066983000000036</c:v>
                </c:pt>
                <c:pt idx="858">
                  <c:v>40.066983000000036</c:v>
                </c:pt>
                <c:pt idx="859">
                  <c:v>40.066983000000036</c:v>
                </c:pt>
                <c:pt idx="860">
                  <c:v>40.066983000000036</c:v>
                </c:pt>
                <c:pt idx="861">
                  <c:v>40.066983000000036</c:v>
                </c:pt>
                <c:pt idx="862">
                  <c:v>40.066983000000036</c:v>
                </c:pt>
                <c:pt idx="863">
                  <c:v>40.066983000000036</c:v>
                </c:pt>
                <c:pt idx="864">
                  <c:v>40.066983000000036</c:v>
                </c:pt>
                <c:pt idx="865">
                  <c:v>40.066983000000036</c:v>
                </c:pt>
                <c:pt idx="866">
                  <c:v>40.066983000000036</c:v>
                </c:pt>
                <c:pt idx="867">
                  <c:v>40.066983000000036</c:v>
                </c:pt>
                <c:pt idx="868">
                  <c:v>40.066983000000036</c:v>
                </c:pt>
                <c:pt idx="869">
                  <c:v>40.066983000000036</c:v>
                </c:pt>
                <c:pt idx="870">
                  <c:v>40.066983000000036</c:v>
                </c:pt>
                <c:pt idx="871">
                  <c:v>40.066983000000036</c:v>
                </c:pt>
                <c:pt idx="872">
                  <c:v>40.066983000000036</c:v>
                </c:pt>
                <c:pt idx="873">
                  <c:v>40.066983000000036</c:v>
                </c:pt>
                <c:pt idx="874">
                  <c:v>40.066983000000036</c:v>
                </c:pt>
                <c:pt idx="875">
                  <c:v>40.066983000000036</c:v>
                </c:pt>
                <c:pt idx="876">
                  <c:v>40.066983000000036</c:v>
                </c:pt>
                <c:pt idx="877">
                  <c:v>40.066983000000036</c:v>
                </c:pt>
                <c:pt idx="878">
                  <c:v>40.066983000000036</c:v>
                </c:pt>
                <c:pt idx="879">
                  <c:v>40.066983000000036</c:v>
                </c:pt>
                <c:pt idx="880">
                  <c:v>40.066983000000036</c:v>
                </c:pt>
                <c:pt idx="881">
                  <c:v>40.066983000000036</c:v>
                </c:pt>
                <c:pt idx="882">
                  <c:v>40.066983000000036</c:v>
                </c:pt>
                <c:pt idx="883">
                  <c:v>40.066983000000036</c:v>
                </c:pt>
                <c:pt idx="884">
                  <c:v>40.066983000000036</c:v>
                </c:pt>
                <c:pt idx="885">
                  <c:v>40.066983000000036</c:v>
                </c:pt>
                <c:pt idx="886">
                  <c:v>40.066983000000036</c:v>
                </c:pt>
                <c:pt idx="887">
                  <c:v>40.066983000000036</c:v>
                </c:pt>
                <c:pt idx="888">
                  <c:v>40.066983000000036</c:v>
                </c:pt>
                <c:pt idx="889">
                  <c:v>40.066983000000036</c:v>
                </c:pt>
                <c:pt idx="890">
                  <c:v>40.066983000000036</c:v>
                </c:pt>
                <c:pt idx="891">
                  <c:v>40.066983000000036</c:v>
                </c:pt>
                <c:pt idx="892">
                  <c:v>40.066983000000036</c:v>
                </c:pt>
                <c:pt idx="893">
                  <c:v>40.066983000000036</c:v>
                </c:pt>
                <c:pt idx="894">
                  <c:v>40.066983000000036</c:v>
                </c:pt>
                <c:pt idx="895">
                  <c:v>40.066983000000036</c:v>
                </c:pt>
                <c:pt idx="896">
                  <c:v>40.066983000000036</c:v>
                </c:pt>
                <c:pt idx="897">
                  <c:v>40.066983000000036</c:v>
                </c:pt>
                <c:pt idx="898">
                  <c:v>40.066983000000036</c:v>
                </c:pt>
                <c:pt idx="899">
                  <c:v>40.066983000000036</c:v>
                </c:pt>
                <c:pt idx="900">
                  <c:v>40.066983000000036</c:v>
                </c:pt>
                <c:pt idx="901">
                  <c:v>40.066983000000036</c:v>
                </c:pt>
                <c:pt idx="902">
                  <c:v>40.066983000000036</c:v>
                </c:pt>
                <c:pt idx="903">
                  <c:v>40.066983000000036</c:v>
                </c:pt>
                <c:pt idx="904">
                  <c:v>40.066983000000036</c:v>
                </c:pt>
                <c:pt idx="905">
                  <c:v>40.066983000000036</c:v>
                </c:pt>
                <c:pt idx="906">
                  <c:v>40.066983000000036</c:v>
                </c:pt>
                <c:pt idx="907">
                  <c:v>40.066983000000036</c:v>
                </c:pt>
                <c:pt idx="908">
                  <c:v>40.066983000000036</c:v>
                </c:pt>
                <c:pt idx="909">
                  <c:v>40.066983000000036</c:v>
                </c:pt>
                <c:pt idx="910">
                  <c:v>40.066983000000036</c:v>
                </c:pt>
                <c:pt idx="911">
                  <c:v>40.066983000000036</c:v>
                </c:pt>
                <c:pt idx="912">
                  <c:v>40.066983000000036</c:v>
                </c:pt>
                <c:pt idx="913">
                  <c:v>40.066983000000036</c:v>
                </c:pt>
                <c:pt idx="914">
                  <c:v>40.066983000000036</c:v>
                </c:pt>
                <c:pt idx="915">
                  <c:v>40.066983000000036</c:v>
                </c:pt>
                <c:pt idx="916">
                  <c:v>40.066983000000036</c:v>
                </c:pt>
                <c:pt idx="917">
                  <c:v>40.066983000000036</c:v>
                </c:pt>
                <c:pt idx="918">
                  <c:v>40.066983000000036</c:v>
                </c:pt>
                <c:pt idx="919">
                  <c:v>40.066983000000036</c:v>
                </c:pt>
                <c:pt idx="920">
                  <c:v>40.066983000000036</c:v>
                </c:pt>
                <c:pt idx="921">
                  <c:v>40.066983000000036</c:v>
                </c:pt>
                <c:pt idx="922">
                  <c:v>40.066983000000036</c:v>
                </c:pt>
                <c:pt idx="923">
                  <c:v>40.066983000000036</c:v>
                </c:pt>
                <c:pt idx="924">
                  <c:v>40.066983000000036</c:v>
                </c:pt>
                <c:pt idx="925">
                  <c:v>40.066983000000036</c:v>
                </c:pt>
                <c:pt idx="926">
                  <c:v>40.066983000000036</c:v>
                </c:pt>
                <c:pt idx="927">
                  <c:v>40.066983000000036</c:v>
                </c:pt>
                <c:pt idx="928">
                  <c:v>40.066983000000036</c:v>
                </c:pt>
                <c:pt idx="929">
                  <c:v>40.066983000000036</c:v>
                </c:pt>
                <c:pt idx="930">
                  <c:v>40.066983000000036</c:v>
                </c:pt>
                <c:pt idx="931">
                  <c:v>40.066983000000036</c:v>
                </c:pt>
                <c:pt idx="932">
                  <c:v>40.066983000000036</c:v>
                </c:pt>
                <c:pt idx="933">
                  <c:v>40.066983000000036</c:v>
                </c:pt>
                <c:pt idx="934">
                  <c:v>40.066983000000036</c:v>
                </c:pt>
                <c:pt idx="935">
                  <c:v>40.066983000000036</c:v>
                </c:pt>
                <c:pt idx="936">
                  <c:v>40.066983000000036</c:v>
                </c:pt>
                <c:pt idx="937">
                  <c:v>40.066983000000036</c:v>
                </c:pt>
                <c:pt idx="938">
                  <c:v>40.066983000000036</c:v>
                </c:pt>
                <c:pt idx="939">
                  <c:v>40.066983000000036</c:v>
                </c:pt>
                <c:pt idx="940">
                  <c:v>40.066983000000036</c:v>
                </c:pt>
                <c:pt idx="941">
                  <c:v>40.066983000000036</c:v>
                </c:pt>
                <c:pt idx="942">
                  <c:v>40.066983000000036</c:v>
                </c:pt>
                <c:pt idx="943">
                  <c:v>40.066983000000036</c:v>
                </c:pt>
                <c:pt idx="944">
                  <c:v>40.066983000000036</c:v>
                </c:pt>
                <c:pt idx="945">
                  <c:v>40.066983000000036</c:v>
                </c:pt>
                <c:pt idx="946">
                  <c:v>40.066983000000036</c:v>
                </c:pt>
                <c:pt idx="947">
                  <c:v>40.066983000000036</c:v>
                </c:pt>
                <c:pt idx="948">
                  <c:v>40.066983000000036</c:v>
                </c:pt>
                <c:pt idx="949">
                  <c:v>40.066983000000036</c:v>
                </c:pt>
                <c:pt idx="950">
                  <c:v>40.066983000000036</c:v>
                </c:pt>
                <c:pt idx="951">
                  <c:v>40.066983000000036</c:v>
                </c:pt>
                <c:pt idx="952">
                  <c:v>40.066983000000036</c:v>
                </c:pt>
                <c:pt idx="953">
                  <c:v>40.066983000000036</c:v>
                </c:pt>
                <c:pt idx="954">
                  <c:v>40.066983000000036</c:v>
                </c:pt>
                <c:pt idx="955">
                  <c:v>40.066983000000036</c:v>
                </c:pt>
                <c:pt idx="956">
                  <c:v>40.066983000000036</c:v>
                </c:pt>
                <c:pt idx="957">
                  <c:v>40.066983000000036</c:v>
                </c:pt>
                <c:pt idx="958">
                  <c:v>40.066983000000036</c:v>
                </c:pt>
                <c:pt idx="959">
                  <c:v>40.066983000000036</c:v>
                </c:pt>
                <c:pt idx="960">
                  <c:v>40.066983000000036</c:v>
                </c:pt>
                <c:pt idx="961">
                  <c:v>40.066983000000036</c:v>
                </c:pt>
                <c:pt idx="962">
                  <c:v>40.066983000000036</c:v>
                </c:pt>
                <c:pt idx="963">
                  <c:v>40.066983000000036</c:v>
                </c:pt>
                <c:pt idx="964">
                  <c:v>40.066983000000036</c:v>
                </c:pt>
                <c:pt idx="965">
                  <c:v>40.066983000000036</c:v>
                </c:pt>
                <c:pt idx="966">
                  <c:v>40.066983000000036</c:v>
                </c:pt>
                <c:pt idx="967">
                  <c:v>40.066983000000036</c:v>
                </c:pt>
                <c:pt idx="968">
                  <c:v>40.066983000000036</c:v>
                </c:pt>
                <c:pt idx="969">
                  <c:v>40.066983000000036</c:v>
                </c:pt>
                <c:pt idx="970">
                  <c:v>40.066983000000036</c:v>
                </c:pt>
                <c:pt idx="971">
                  <c:v>40.066983000000036</c:v>
                </c:pt>
                <c:pt idx="972">
                  <c:v>40.066983000000036</c:v>
                </c:pt>
                <c:pt idx="973">
                  <c:v>40.066983000000036</c:v>
                </c:pt>
                <c:pt idx="974">
                  <c:v>40.066983000000036</c:v>
                </c:pt>
                <c:pt idx="975">
                  <c:v>40.066983000000036</c:v>
                </c:pt>
                <c:pt idx="976">
                  <c:v>40.066983000000036</c:v>
                </c:pt>
                <c:pt idx="977">
                  <c:v>40.066983000000036</c:v>
                </c:pt>
                <c:pt idx="978">
                  <c:v>40.066983000000036</c:v>
                </c:pt>
                <c:pt idx="979">
                  <c:v>40.066983000000036</c:v>
                </c:pt>
                <c:pt idx="980">
                  <c:v>40.066983000000036</c:v>
                </c:pt>
                <c:pt idx="981">
                  <c:v>40.066983000000036</c:v>
                </c:pt>
                <c:pt idx="982">
                  <c:v>40.066983000000036</c:v>
                </c:pt>
                <c:pt idx="983">
                  <c:v>40.066983000000036</c:v>
                </c:pt>
                <c:pt idx="984">
                  <c:v>40.066983000000036</c:v>
                </c:pt>
                <c:pt idx="985">
                  <c:v>40.066983000000036</c:v>
                </c:pt>
                <c:pt idx="986">
                  <c:v>40.066983000000036</c:v>
                </c:pt>
                <c:pt idx="987">
                  <c:v>40.066983000000036</c:v>
                </c:pt>
                <c:pt idx="988">
                  <c:v>40.066983000000036</c:v>
                </c:pt>
                <c:pt idx="989">
                  <c:v>40.066983000000036</c:v>
                </c:pt>
                <c:pt idx="990">
                  <c:v>40.066983000000036</c:v>
                </c:pt>
                <c:pt idx="991">
                  <c:v>40.066983000000036</c:v>
                </c:pt>
                <c:pt idx="992">
                  <c:v>40.066983000000036</c:v>
                </c:pt>
                <c:pt idx="993">
                  <c:v>40.066983000000036</c:v>
                </c:pt>
                <c:pt idx="994">
                  <c:v>40.066983000000036</c:v>
                </c:pt>
                <c:pt idx="995">
                  <c:v>40.066983000000036</c:v>
                </c:pt>
                <c:pt idx="996">
                  <c:v>40.066983000000036</c:v>
                </c:pt>
                <c:pt idx="997">
                  <c:v>40.066983000000036</c:v>
                </c:pt>
                <c:pt idx="998">
                  <c:v>40.066983000000036</c:v>
                </c:pt>
                <c:pt idx="999">
                  <c:v>40.066983000000036</c:v>
                </c:pt>
                <c:pt idx="1000">
                  <c:v>40.066983000000036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8D6-934B-5D8E0316888E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28.463495806219921</c:v>
                </c:pt>
                <c:pt idx="1">
                  <c:v>28.453340303777974</c:v>
                </c:pt>
                <c:pt idx="2">
                  <c:v>28.572772058852788</c:v>
                </c:pt>
                <c:pt idx="3">
                  <c:v>28.746989033651232</c:v>
                </c:pt>
                <c:pt idx="4">
                  <c:v>28.900695664151286</c:v>
                </c:pt>
                <c:pt idx="5">
                  <c:v>29.043753461647825</c:v>
                </c:pt>
                <c:pt idx="6">
                  <c:v>29.186131916213107</c:v>
                </c:pt>
                <c:pt idx="7">
                  <c:v>29.327823630143687</c:v>
                </c:pt>
                <c:pt idx="8">
                  <c:v>29.468821274919016</c:v>
                </c:pt>
                <c:pt idx="9">
                  <c:v>29.609117591246033</c:v>
                </c:pt>
                <c:pt idx="10">
                  <c:v>29.748705389099069</c:v>
                </c:pt>
                <c:pt idx="11">
                  <c:v>29.887577547755122</c:v>
                </c:pt>
                <c:pt idx="12">
                  <c:v>30.025727015824458</c:v>
                </c:pt>
                <c:pt idx="13">
                  <c:v>30.16314681127648</c:v>
                </c:pt>
                <c:pt idx="14">
                  <c:v>30.29983002146118</c:v>
                </c:pt>
                <c:pt idx="15">
                  <c:v>30.435769803125861</c:v>
                </c:pt>
                <c:pt idx="16">
                  <c:v>30.570959382427443</c:v>
                </c:pt>
                <c:pt idx="17">
                  <c:v>30.705392054940294</c:v>
                </c:pt>
                <c:pt idx="18">
                  <c:v>30.839061185659538</c:v>
                </c:pt>
                <c:pt idx="19">
                  <c:v>30.97196020899991</c:v>
                </c:pt>
                <c:pt idx="20">
                  <c:v>31.104082628790426</c:v>
                </c:pt>
                <c:pt idx="21">
                  <c:v>31.235422018264448</c:v>
                </c:pt>
                <c:pt idx="22">
                  <c:v>31.365972020045696</c:v>
                </c:pt>
                <c:pt idx="23">
                  <c:v>31.495726346129597</c:v>
                </c:pt>
                <c:pt idx="24">
                  <c:v>31.624678777860975</c:v>
                </c:pt>
                <c:pt idx="25">
                  <c:v>31.752823165906996</c:v>
                </c:pt>
                <c:pt idx="26">
                  <c:v>31.880153430226162</c:v>
                </c:pt>
                <c:pt idx="27">
                  <c:v>32.006663560033253</c:v>
                </c:pt>
                <c:pt idx="28">
                  <c:v>32.132347613760075</c:v>
                </c:pt>
                <c:pt idx="29">
                  <c:v>32.2571997190121</c:v>
                </c:pt>
                <c:pt idx="30">
                  <c:v>32.381214072521246</c:v>
                </c:pt>
                <c:pt idx="31">
                  <c:v>32.504384940094525</c:v>
                </c:pt>
                <c:pt idx="32">
                  <c:v>32.626706656558866</c:v>
                </c:pt>
                <c:pt idx="33">
                  <c:v>32.748173625701895</c:v>
                </c:pt>
                <c:pt idx="34">
                  <c:v>32.868780320209019</c:v>
                </c:pt>
                <c:pt idx="35">
                  <c:v>32.988521281596491</c:v>
                </c:pt>
                <c:pt idx="36">
                  <c:v>33.107391120140903</c:v>
                </c:pt>
                <c:pt idx="37">
                  <c:v>33.225384514804631</c:v>
                </c:pt>
                <c:pt idx="38">
                  <c:v>33.342496213157929</c:v>
                </c:pt>
                <c:pt idx="39">
                  <c:v>33.458721031296967</c:v>
                </c:pt>
                <c:pt idx="40">
                  <c:v>33.574053853758564</c:v>
                </c:pt>
                <c:pt idx="41">
                  <c:v>33.688489633431118</c:v>
                </c:pt>
                <c:pt idx="42">
                  <c:v>33.802023391461972</c:v>
                </c:pt>
                <c:pt idx="43">
                  <c:v>33.914650217161416</c:v>
                </c:pt>
                <c:pt idx="44">
                  <c:v>34.026365267903095</c:v>
                </c:pt>
                <c:pt idx="45">
                  <c:v>34.137163769020823</c:v>
                </c:pt>
                <c:pt idx="46">
                  <c:v>34.24704101370245</c:v>
                </c:pt>
                <c:pt idx="47">
                  <c:v>34.355992362879775</c:v>
                </c:pt>
                <c:pt idx="48">
                  <c:v>34.464013245115623</c:v>
                </c:pt>
                <c:pt idx="49">
                  <c:v>34.571099156487328</c:v>
                </c:pt>
                <c:pt idx="50">
                  <c:v>34.677245660467143</c:v>
                </c:pt>
                <c:pt idx="51">
                  <c:v>34.782448387799299</c:v>
                </c:pt>
                <c:pt idx="52">
                  <c:v>34.886703036374058</c:v>
                </c:pt>
                <c:pt idx="53">
                  <c:v>34.99000537109854</c:v>
                </c:pt>
                <c:pt idx="54">
                  <c:v>35.092351223764346</c:v>
                </c:pt>
                <c:pt idx="55">
                  <c:v>35.193736492912471</c:v>
                </c:pt>
                <c:pt idx="56">
                  <c:v>35.294157143694711</c:v>
                </c:pt>
                <c:pt idx="57">
                  <c:v>35.393609207732673</c:v>
                </c:pt>
                <c:pt idx="58">
                  <c:v>35.492088782973262</c:v>
                </c:pt>
                <c:pt idx="59">
                  <c:v>35.58959203354182</c:v>
                </c:pt>
                <c:pt idx="60">
                  <c:v>35.68611518959198</c:v>
                </c:pt>
                <c:pt idx="61">
                  <c:v>35.781654547152918</c:v>
                </c:pt>
                <c:pt idx="62">
                  <c:v>35.876206467973887</c:v>
                </c:pt>
                <c:pt idx="63">
                  <c:v>35.968803829490739</c:v>
                </c:pt>
                <c:pt idx="64">
                  <c:v>36.058475451228254</c:v>
                </c:pt>
                <c:pt idx="65">
                  <c:v>36.145212611503098</c:v>
                </c:pt>
                <c:pt idx="66">
                  <c:v>36.229007029510441</c:v>
                </c:pt>
                <c:pt idx="67">
                  <c:v>36.308963867823266</c:v>
                </c:pt>
                <c:pt idx="68">
                  <c:v>36.38418575292804</c:v>
                </c:pt>
                <c:pt idx="69">
                  <c:v>36.453081965857407</c:v>
                </c:pt>
                <c:pt idx="70">
                  <c:v>36.514058835009273</c:v>
                </c:pt>
                <c:pt idx="71">
                  <c:v>36.56710446965365</c:v>
                </c:pt>
                <c:pt idx="72">
                  <c:v>36.612209844055506</c:v>
                </c:pt>
                <c:pt idx="73">
                  <c:v>36.64936878486747</c:v>
                </c:pt>
                <c:pt idx="74">
                  <c:v>36.678577958148999</c:v>
                </c:pt>
                <c:pt idx="75">
                  <c:v>36.699836856024014</c:v>
                </c:pt>
                <c:pt idx="76">
                  <c:v>36.713147782988351</c:v>
                </c:pt>
                <c:pt idx="77">
                  <c:v>36.718515841879181</c:v>
                </c:pt>
                <c:pt idx="78">
                  <c:v>36.715948919518105</c:v>
                </c:pt>
                <c:pt idx="79">
                  <c:v>36.705457672039337</c:v>
                </c:pt>
                <c:pt idx="80">
                  <c:v>36.687055509915112</c:v>
                </c:pt>
                <c:pt idx="81">
                  <c:v>36.662641497702396</c:v>
                </c:pt>
                <c:pt idx="82">
                  <c:v>36.63411166843504</c:v>
                </c:pt>
                <c:pt idx="83">
                  <c:v>36.601476259314829</c:v>
                </c:pt>
                <c:pt idx="84">
                  <c:v>36.564746235069983</c:v>
                </c:pt>
                <c:pt idx="85">
                  <c:v>36.523933283634904</c:v>
                </c:pt>
                <c:pt idx="86">
                  <c:v>36.479049811806775</c:v>
                </c:pt>
                <c:pt idx="87">
                  <c:v>36.430108940880778</c:v>
                </c:pt>
                <c:pt idx="88">
                  <c:v>36.377124502265296</c:v>
                </c:pt>
                <c:pt idx="89">
                  <c:v>36.320702765708504</c:v>
                </c:pt>
                <c:pt idx="90">
                  <c:v>36.261447878938718</c:v>
                </c:pt>
                <c:pt idx="91">
                  <c:v>36.199370890879358</c:v>
                </c:pt>
                <c:pt idx="92">
                  <c:v>36.134483190918083</c:v>
                </c:pt>
                <c:pt idx="93">
                  <c:v>36.066943897542018</c:v>
                </c:pt>
                <c:pt idx="94">
                  <c:v>35.996911670261007</c:v>
                </c:pt>
                <c:pt idx="95">
                  <c:v>35.924397567174125</c:v>
                </c:pt>
                <c:pt idx="96">
                  <c:v>35.849412910368436</c:v>
                </c:pt>
                <c:pt idx="97">
                  <c:v>35.772556307910932</c:v>
                </c:pt>
                <c:pt idx="98">
                  <c:v>35.694423136276825</c:v>
                </c:pt>
                <c:pt idx="99">
                  <c:v>35.615019736885095</c:v>
                </c:pt>
                <c:pt idx="100">
                  <c:v>35.534352517935062</c:v>
                </c:pt>
                <c:pt idx="101">
                  <c:v>35.452427953952856</c:v>
                </c:pt>
                <c:pt idx="102">
                  <c:v>35.369252585340064</c:v>
                </c:pt>
                <c:pt idx="103">
                  <c:v>35.284833017925358</c:v>
                </c:pt>
                <c:pt idx="104">
                  <c:v>35.199175922518634</c:v>
                </c:pt>
                <c:pt idx="105">
                  <c:v>35.112288034467895</c:v>
                </c:pt>
                <c:pt idx="106">
                  <c:v>35.024176153218747</c:v>
                </c:pt>
                <c:pt idx="107">
                  <c:v>34.934847141876801</c:v>
                </c:pt>
                <c:pt idx="108">
                  <c:v>34.844307926772736</c:v>
                </c:pt>
                <c:pt idx="109">
                  <c:v>34.753288170545005</c:v>
                </c:pt>
                <c:pt idx="110">
                  <c:v>34.662512641486138</c:v>
                </c:pt>
                <c:pt idx="111">
                  <c:v>34.571980512273974</c:v>
                </c:pt>
                <c:pt idx="112">
                  <c:v>34.481690959190772</c:v>
                </c:pt>
                <c:pt idx="113">
                  <c:v>34.391643162104579</c:v>
                </c:pt>
                <c:pt idx="114">
                  <c:v>34.301836304450532</c:v>
                </c:pt>
                <c:pt idx="115">
                  <c:v>34.212269573212154</c:v>
                </c:pt>
                <c:pt idx="116">
                  <c:v>34.122942158903072</c:v>
                </c:pt>
                <c:pt idx="117">
                  <c:v>34.033853255548536</c:v>
                </c:pt>
                <c:pt idx="118">
                  <c:v>33.945002060667299</c:v>
                </c:pt>
                <c:pt idx="119">
                  <c:v>33.856387775253367</c:v>
                </c:pt>
                <c:pt idx="120">
                  <c:v>33.768009603758173</c:v>
                </c:pt>
                <c:pt idx="121">
                  <c:v>33.679866754072464</c:v>
                </c:pt>
                <c:pt idx="122">
                  <c:v>33.59195843750868</c:v>
                </c:pt>
                <c:pt idx="123">
                  <c:v>33.504283868783141</c:v>
                </c:pt>
                <c:pt idx="124">
                  <c:v>33.416842265998632</c:v>
                </c:pt>
                <c:pt idx="125">
                  <c:v>33.329632850626723</c:v>
                </c:pt>
                <c:pt idx="126">
                  <c:v>33.24265484749062</c:v>
                </c:pt>
                <c:pt idx="127">
                  <c:v>33.155907484747701</c:v>
                </c:pt>
                <c:pt idx="128">
                  <c:v>33.069389993872541</c:v>
                </c:pt>
                <c:pt idx="129">
                  <c:v>32.983101609639739</c:v>
                </c:pt>
                <c:pt idx="130">
                  <c:v>32.897041570107007</c:v>
                </c:pt>
                <c:pt idx="131">
                  <c:v>32.811209116598349</c:v>
                </c:pt>
                <c:pt idx="132">
                  <c:v>32.725603493687274</c:v>
                </c:pt>
                <c:pt idx="133">
                  <c:v>32.640223949180168</c:v>
                </c:pt>
                <c:pt idx="134">
                  <c:v>32.555069734099753</c:v>
                </c:pt>
                <c:pt idx="135">
                  <c:v>32.470140102668651</c:v>
                </c:pt>
                <c:pt idx="136">
                  <c:v>32.385434312293</c:v>
                </c:pt>
                <c:pt idx="137">
                  <c:v>32.300951623546254</c:v>
                </c:pt>
                <c:pt idx="138">
                  <c:v>32.216691300152995</c:v>
                </c:pt>
                <c:pt idx="139">
                  <c:v>32.13265260897284</c:v>
                </c:pt>
                <c:pt idx="140">
                  <c:v>32.048834819984634</c:v>
                </c:pt>
                <c:pt idx="141">
                  <c:v>31.965237206270398</c:v>
                </c:pt>
                <c:pt idx="142">
                  <c:v>31.881859043999647</c:v>
                </c:pt>
                <c:pt idx="143">
                  <c:v>31.798699612413799</c:v>
                </c:pt>
                <c:pt idx="144">
                  <c:v>31.715758193810366</c:v>
                </c:pt>
                <c:pt idx="145">
                  <c:v>31.633034073527725</c:v>
                </c:pt>
                <c:pt idx="146">
                  <c:v>31.550526539929542</c:v>
                </c:pt>
                <c:pt idx="147">
                  <c:v>31.468234884389506</c:v>
                </c:pt>
                <c:pt idx="148">
                  <c:v>31.386158401276212</c:v>
                </c:pt>
                <c:pt idx="149">
                  <c:v>31.304296387937857</c:v>
                </c:pt>
                <c:pt idx="150">
                  <c:v>31.222648144687373</c:v>
                </c:pt>
                <c:pt idx="151">
                  <c:v>31.141212974787379</c:v>
                </c:pt>
                <c:pt idx="152">
                  <c:v>31.059990184435392</c:v>
                </c:pt>
                <c:pt idx="153">
                  <c:v>30.978979082748964</c:v>
                </c:pt>
                <c:pt idx="154">
                  <c:v>30.898178981751112</c:v>
                </c:pt>
                <c:pt idx="155">
                  <c:v>30.817589196355634</c:v>
                </c:pt>
                <c:pt idx="156">
                  <c:v>30.737209044352639</c:v>
                </c:pt>
                <c:pt idx="157">
                  <c:v>30.657037846394118</c:v>
                </c:pt>
                <c:pt idx="158">
                  <c:v>30.577074925979581</c:v>
                </c:pt>
                <c:pt idx="159">
                  <c:v>30.49731960944187</c:v>
                </c:pt>
                <c:pt idx="160">
                  <c:v>30.417771225932889</c:v>
                </c:pt>
                <c:pt idx="161">
                  <c:v>30.338429107409592</c:v>
                </c:pt>
                <c:pt idx="162">
                  <c:v>30.259292588619974</c:v>
                </c:pt>
                <c:pt idx="163">
                  <c:v>30.180361007089019</c:v>
                </c:pt>
                <c:pt idx="164">
                  <c:v>30.101633703105097</c:v>
                </c:pt>
                <c:pt idx="165">
                  <c:v>30.023110019705975</c:v>
                </c:pt>
                <c:pt idx="166">
                  <c:v>29.944789302665292</c:v>
                </c:pt>
                <c:pt idx="167">
                  <c:v>29.866670900478859</c:v>
                </c:pt>
                <c:pt idx="168">
                  <c:v>29.78875416435114</c:v>
                </c:pt>
                <c:pt idx="169">
                  <c:v>29.711038448181906</c:v>
                </c:pt>
                <c:pt idx="170">
                  <c:v>29.633523108552801</c:v>
                </c:pt>
                <c:pt idx="171">
                  <c:v>29.556207504714013</c:v>
                </c:pt>
                <c:pt idx="172">
                  <c:v>29.479090998571152</c:v>
                </c:pt>
                <c:pt idx="173">
                  <c:v>29.402172954672093</c:v>
                </c:pt>
                <c:pt idx="174">
                  <c:v>29.325452740193825</c:v>
                </c:pt>
                <c:pt idx="175">
                  <c:v>29.248929724929653</c:v>
                </c:pt>
                <c:pt idx="176">
                  <c:v>29.172603281276114</c:v>
                </c:pt>
                <c:pt idx="177">
                  <c:v>29.096472784220268</c:v>
                </c:pt>
                <c:pt idx="178">
                  <c:v>29.020537611326844</c:v>
                </c:pt>
                <c:pt idx="179">
                  <c:v>28.944797142725662</c:v>
                </c:pt>
                <c:pt idx="180">
                  <c:v>28.869250761098936</c:v>
                </c:pt>
                <c:pt idx="181">
                  <c:v>28.793897851668792</c:v>
                </c:pt>
                <c:pt idx="182">
                  <c:v>28.718737802184762</c:v>
                </c:pt>
                <c:pt idx="183">
                  <c:v>28.643770002911417</c:v>
                </c:pt>
                <c:pt idx="184">
                  <c:v>28.568993846616067</c:v>
                </c:pt>
                <c:pt idx="185">
                  <c:v>28.494408728556404</c:v>
                </c:pt>
                <c:pt idx="186">
                  <c:v>28.420014046468513</c:v>
                </c:pt>
                <c:pt idx="187">
                  <c:v>28.345809200554552</c:v>
                </c:pt>
                <c:pt idx="188">
                  <c:v>28.271793593470893</c:v>
                </c:pt>
                <c:pt idx="189">
                  <c:v>28.197966630316017</c:v>
                </c:pt>
                <c:pt idx="190">
                  <c:v>28.124327718618641</c:v>
                </c:pt>
                <c:pt idx="191">
                  <c:v>28.050876268325947</c:v>
                </c:pt>
                <c:pt idx="192">
                  <c:v>27.977611691791768</c:v>
                </c:pt>
                <c:pt idx="193">
                  <c:v>27.90453340376488</c:v>
                </c:pt>
                <c:pt idx="194">
                  <c:v>27.831640821377349</c:v>
                </c:pt>
                <c:pt idx="195">
                  <c:v>27.758933364133057</c:v>
                </c:pt>
                <c:pt idx="196">
                  <c:v>27.686410453896105</c:v>
                </c:pt>
                <c:pt idx="197">
                  <c:v>27.614071514879399</c:v>
                </c:pt>
                <c:pt idx="198">
                  <c:v>27.541915973633326</c:v>
                </c:pt>
                <c:pt idx="199">
                  <c:v>27.469943259034384</c:v>
                </c:pt>
                <c:pt idx="200">
                  <c:v>27.398152802273984</c:v>
                </c:pt>
                <c:pt idx="201">
                  <c:v>26.686928475155714</c:v>
                </c:pt>
                <c:pt idx="202">
                  <c:v>25.993522434652345</c:v>
                </c:pt>
                <c:pt idx="203">
                  <c:v>25.31739151886736</c:v>
                </c:pt>
                <c:pt idx="204">
                  <c:v>24.658014033220084</c:v>
                </c:pt>
                <c:pt idx="205">
                  <c:v>24.014888747174222</c:v>
                </c:pt>
                <c:pt idx="206">
                  <c:v>23.38753394573266</c:v>
                </c:pt>
                <c:pt idx="207">
                  <c:v>22.775486532303365</c:v>
                </c:pt>
                <c:pt idx="208">
                  <c:v>22.178301179777069</c:v>
                </c:pt>
                <c:pt idx="209">
                  <c:v>21.59554952687488</c:v>
                </c:pt>
                <c:pt idx="210">
                  <c:v>21.026819417025177</c:v>
                </c:pt>
                <c:pt idx="211">
                  <c:v>20.471714177214796</c:v>
                </c:pt>
                <c:pt idx="212">
                  <c:v>19.929851934431809</c:v>
                </c:pt>
                <c:pt idx="213">
                  <c:v>19.40086496747606</c:v>
                </c:pt>
                <c:pt idx="214">
                  <c:v>18.884399092061113</c:v>
                </c:pt>
                <c:pt idx="215">
                  <c:v>18.38011307726817</c:v>
                </c:pt>
                <c:pt idx="216">
                  <c:v>17.88767809153866</c:v>
                </c:pt>
                <c:pt idx="217">
                  <c:v>17.40677717651042</c:v>
                </c:pt>
                <c:pt idx="218">
                  <c:v>16.937104747110872</c:v>
                </c:pt>
                <c:pt idx="219">
                  <c:v>16.478366116422489</c:v>
                </c:pt>
                <c:pt idx="220">
                  <c:v>16.030277043929711</c:v>
                </c:pt>
                <c:pt idx="221">
                  <c:v>15.592563305844312</c:v>
                </c:pt>
                <c:pt idx="222">
                  <c:v>15.164960286287524</c:v>
                </c:pt>
                <c:pt idx="223">
                  <c:v>14.747212588183245</c:v>
                </c:pt>
                <c:pt idx="224">
                  <c:v>14.339073662787369</c:v>
                </c:pt>
                <c:pt idx="225">
                  <c:v>13.940305456843927</c:v>
                </c:pt>
                <c:pt idx="226">
                  <c:v>13.550678076420315</c:v>
                </c:pt>
                <c:pt idx="227">
                  <c:v>13.169969466531123</c:v>
                </c:pt>
                <c:pt idx="228">
                  <c:v>12.797965105713462</c:v>
                </c:pt>
                <c:pt idx="229">
                  <c:v>12.434457714766614</c:v>
                </c:pt>
                <c:pt idx="230">
                  <c:v>12.079246978915496</c:v>
                </c:pt>
                <c:pt idx="231">
                  <c:v>11.732139282700999</c:v>
                </c:pt>
                <c:pt idx="232">
                  <c:v>11.392947456940899</c:v>
                </c:pt>
                <c:pt idx="233">
                  <c:v>11.061490537143223</c:v>
                </c:pt>
                <c:pt idx="234">
                  <c:v>10.737593532789711</c:v>
                </c:pt>
                <c:pt idx="235">
                  <c:v>10.421087206940172</c:v>
                </c:pt>
                <c:pt idx="236">
                  <c:v>10.111807865640008</c:v>
                </c:pt>
                <c:pt idx="237">
                  <c:v>9.8095971566424005</c:v>
                </c:pt>
                <c:pt idx="238">
                  <c:v>9.5143018769842413</c:v>
                </c:pt>
                <c:pt idx="239">
                  <c:v>9.2257737889803622</c:v>
                </c:pt>
                <c:pt idx="240">
                  <c:v>8.9438694442252551</c:v>
                </c:pt>
                <c:pt idx="241">
                  <c:v>8.6684500152137254</c:v>
                </c:pt>
                <c:pt idx="242">
                  <c:v>8.3993811342135043</c:v>
                </c:pt>
                <c:pt idx="243">
                  <c:v>8.1365327390427407</c:v>
                </c:pt>
                <c:pt idx="244">
                  <c:v>7.879778925424219</c:v>
                </c:pt>
                <c:pt idx="245">
                  <c:v>7.6289978056055636</c:v>
                </c:pt>
                <c:pt idx="246">
                  <c:v>7.3840713729517082</c:v>
                </c:pt>
                <c:pt idx="247">
                  <c:v>7.1448853722312027</c:v>
                </c:pt>
                <c:pt idx="248">
                  <c:v>6.9113291753327717</c:v>
                </c:pt>
                <c:pt idx="249">
                  <c:v>6.683295662162462</c:v>
                </c:pt>
                <c:pt idx="250">
                  <c:v>6.4606811064845857</c:v>
                </c:pt>
                <c:pt idx="251">
                  <c:v>6.2433850664821158</c:v>
                </c:pt>
                <c:pt idx="252">
                  <c:v>6.03131027982357</c:v>
                </c:pt>
                <c:pt idx="253">
                  <c:v>5.8243625630344704</c:v>
                </c:pt>
                <c:pt idx="254">
                  <c:v>5.6224507149816558</c:v>
                </c:pt>
                <c:pt idx="255">
                  <c:v>5.4254864242883221</c:v>
                </c:pt>
                <c:pt idx="256">
                  <c:v>5.2333841805068921</c:v>
                </c:pt>
                <c:pt idx="257">
                  <c:v>5.0460611888853322</c:v>
                </c:pt>
                <c:pt idx="258">
                  <c:v>4.8634372885705686</c:v>
                </c:pt>
                <c:pt idx="259">
                  <c:v>4.6854348741003404</c:v>
                </c:pt>
                <c:pt idx="260">
                  <c:v>4.5119788200419304</c:v>
                </c:pt>
                <c:pt idx="261">
                  <c:v>4.3429964086429536</c:v>
                </c:pt>
                <c:pt idx="262">
                  <c:v>4.1784172603656886</c:v>
                </c:pt>
                <c:pt idx="263">
                  <c:v>4.0181732671824424</c:v>
                </c:pt>
                <c:pt idx="264">
                  <c:v>3.8621985285148637</c:v>
                </c:pt>
                <c:pt idx="265">
                  <c:v>3.7104292897054556</c:v>
                </c:pt>
                <c:pt idx="266">
                  <c:v>3.5628038829142668</c:v>
                </c:pt>
                <c:pt idx="267">
                  <c:v>3.4192626703383704</c:v>
                </c:pt>
                <c:pt idx="268">
                  <c:v>3.2797479896557427</c:v>
                </c:pt>
                <c:pt idx="269">
                  <c:v>3.1442041015991418</c:v>
                </c:pt>
                <c:pt idx="270">
                  <c:v>3.0125771395690144</c:v>
                </c:pt>
                <c:pt idx="271">
                  <c:v>2.8848150611975978</c:v>
                </c:pt>
                <c:pt idx="272">
                  <c:v>2.7608676017792679</c:v>
                </c:pt>
                <c:pt idx="273">
                  <c:v>2.6406862294846118</c:v>
                </c:pt>
                <c:pt idx="274">
                  <c:v>2.5242241022778078</c:v>
                </c:pt>
                <c:pt idx="275">
                  <c:v>2.4114360264586172</c:v>
                </c:pt>
                <c:pt idx="276">
                  <c:v>2.3022784167515944</c:v>
                </c:pt>
                <c:pt idx="277">
                  <c:v>2.1967092578659484</c:v>
                </c:pt>
                <c:pt idx="278">
                  <c:v>2.0946880674499178</c:v>
                </c:pt>
                <c:pt idx="279">
                  <c:v>1.9961758603633033</c:v>
                </c:pt>
                <c:pt idx="280">
                  <c:v>1.901135114191117</c:v>
                </c:pt>
                <c:pt idx="281">
                  <c:v>1.8095297359198839</c:v>
                </c:pt>
                <c:pt idx="282">
                  <c:v>1.7213250296960452</c:v>
                </c:pt>
                <c:pt idx="283">
                  <c:v>1.6364876655830065</c:v>
                </c:pt>
                <c:pt idx="284">
                  <c:v>1.5549856492295111</c:v>
                </c:pt>
                <c:pt idx="285">
                  <c:v>1.476788292357252</c:v>
                </c:pt>
                <c:pt idx="286">
                  <c:v>1.4018661839696147</c:v>
                </c:pt>
                <c:pt idx="287">
                  <c:v>1.3301911621762728</c:v>
                </c:pt>
                <c:pt idx="288">
                  <c:v>1.2617362865197479</c:v>
                </c:pt>
                <c:pt idx="289">
                  <c:v>1.1964758106799507</c:v>
                </c:pt>
                <c:pt idx="290">
                  <c:v>1.1343851554210431</c:v>
                </c:pt>
                <c:pt idx="291">
                  <c:v>1.0754408816315777</c:v>
                </c:pt>
                <c:pt idx="292">
                  <c:v>1.0196206632938496</c:v>
                </c:pt>
                <c:pt idx="293">
                  <c:v>0.96690326020171569</c:v>
                </c:pt>
                <c:pt idx="294">
                  <c:v>0.91726849022813928</c:v>
                </c:pt>
                <c:pt idx="295">
                  <c:v>0.8706972009246764</c:v>
                </c:pt>
                <c:pt idx="296">
                  <c:v>0.82717124021577748</c:v>
                </c:pt>
                <c:pt idx="297">
                  <c:v>0.78667342593209078</c:v>
                </c:pt>
                <c:pt idx="298">
                  <c:v>0.7491875139102665</c:v>
                </c:pt>
                <c:pt idx="299">
                  <c:v>0.71469816437400424</c:v>
                </c:pt>
                <c:pt idx="300">
                  <c:v>0.68319090630454293</c:v>
                </c:pt>
                <c:pt idx="301">
                  <c:v>0.65465209951135417</c:v>
                </c:pt>
                <c:pt idx="302">
                  <c:v>0.62906889412872524</c:v>
                </c:pt>
                <c:pt idx="303">
                  <c:v>0.60642918729454554</c:v>
                </c:pt>
                <c:pt idx="304">
                  <c:v>0.58672157681717574</c:v>
                </c:pt>
                <c:pt idx="305">
                  <c:v>0.56993531170712064</c:v>
                </c:pt>
                <c:pt idx="306">
                  <c:v>0.55606023954328643</c:v>
                </c:pt>
                <c:pt idx="307">
                  <c:v>0.54508675075759083</c:v>
                </c:pt>
                <c:pt idx="308">
                  <c:v>0.53700572005253899</c:v>
                </c:pt>
                <c:pt idx="309">
                  <c:v>0.53180844530688309</c:v>
                </c:pt>
                <c:pt idx="310">
                  <c:v>0.5294865844645954</c:v>
                </c:pt>
                <c:pt idx="311">
                  <c:v>0.53003209103009374</c:v>
                </c:pt>
                <c:pt idx="312">
                  <c:v>0.53343714889549698</c:v>
                </c:pt>
                <c:pt idx="313">
                  <c:v>0.53969410729265399</c:v>
                </c:pt>
                <c:pt idx="314">
                  <c:v>0.54879541668626597</c:v>
                </c:pt>
                <c:pt idx="315">
                  <c:v>0.56073356640180139</c:v>
                </c:pt>
                <c:pt idx="316">
                  <c:v>0.57550102471577669</c:v>
                </c:pt>
                <c:pt idx="317">
                  <c:v>0.59309018203378872</c:v>
                </c:pt>
                <c:pt idx="318">
                  <c:v>0.61349329765444194</c:v>
                </c:pt>
                <c:pt idx="319">
                  <c:v>0.63670245047745744</c:v>
                </c:pt>
                <c:pt idx="320">
                  <c:v>0.66270949387395517</c:v>
                </c:pt>
                <c:pt idx="321">
                  <c:v>0.69150601480625495</c:v>
                </c:pt>
                <c:pt idx="322">
                  <c:v>0.72308329717087005</c:v>
                </c:pt>
                <c:pt idx="323">
                  <c:v>0.75743228924581529</c:v>
                </c:pt>
                <c:pt idx="324">
                  <c:v>0.79454357505322293</c:v>
                </c:pt>
                <c:pt idx="325">
                  <c:v>0.8344073493996611</c:v>
                </c:pt>
                <c:pt idx="326">
                  <c:v>0.87701339632706143</c:v>
                </c:pt>
                <c:pt idx="327">
                  <c:v>0.92235107069357392</c:v>
                </c:pt>
                <c:pt idx="328">
                  <c:v>0.97040928260256554</c:v>
                </c:pt>
                <c:pt idx="329">
                  <c:v>1.0211764844060396</c:v>
                </c:pt>
                <c:pt idx="330">
                  <c:v>1.07464066002313</c:v>
                </c:pt>
                <c:pt idx="331">
                  <c:v>1.1307893163325973</c:v>
                </c:pt>
                <c:pt idx="332">
                  <c:v>1.1896094764185647</c:v>
                </c:pt>
                <c:pt idx="333">
                  <c:v>1.2510876744697221</c:v>
                </c:pt>
                <c:pt idx="334">
                  <c:v>1.3152099521528162</c:v>
                </c:pt>
                <c:pt idx="335">
                  <c:v>1.3819618563009286</c:v>
                </c:pt>
                <c:pt idx="336">
                  <c:v>1.451328437775278</c:v>
                </c:pt>
                <c:pt idx="337">
                  <c:v>1.5232942513759629</c:v>
                </c:pt>
                <c:pt idx="338">
                  <c:v>1.597843356692082</c:v>
                </c:pt>
                <c:pt idx="339">
                  <c:v>1.6749593197950354</c:v>
                </c:pt>
                <c:pt idx="340">
                  <c:v>1.7546252156906341</c:v>
                </c:pt>
                <c:pt idx="341">
                  <c:v>1.8368236314560249</c:v>
                </c:pt>
                <c:pt idx="342">
                  <c:v>1.9215366699964747</c:v>
                </c:pt>
                <c:pt idx="343">
                  <c:v>2.0087459543649526</c:v>
                </c:pt>
                <c:pt idx="344">
                  <c:v>2.098432632594267</c:v>
                </c:pt>
                <c:pt idx="345">
                  <c:v>2.1905773829974251</c:v>
                </c:pt>
                <c:pt idx="346">
                  <c:v>2.2851604198969775</c:v>
                </c:pt>
                <c:pt idx="347">
                  <c:v>2.382161499748519</c:v>
                </c:pt>
                <c:pt idx="348">
                  <c:v>2.4815599276272913</c:v>
                </c:pt>
                <c:pt idx="349">
                  <c:v>2.5833345640501104</c:v>
                </c:pt>
                <c:pt idx="350">
                  <c:v>2.687463832107658</c:v>
                </c:pt>
                <c:pt idx="351">
                  <c:v>2.7939257248845903</c:v>
                </c:pt>
                <c:pt idx="352">
                  <c:v>2.9026978131470065</c:v>
                </c:pt>
                <c:pt idx="353">
                  <c:v>3.0137572532786367</c:v>
                </c:pt>
                <c:pt idx="354">
                  <c:v>3.1270807954486428</c:v>
                </c:pt>
                <c:pt idx="355">
                  <c:v>3.2426447919952945</c:v>
                </c:pt>
                <c:pt idx="356">
                  <c:v>3.3604252060109197</c:v>
                </c:pt>
                <c:pt idx="357">
                  <c:v>3.4803976201145614</c:v>
                </c:pt>
                <c:pt idx="358">
                  <c:v>3.6025372453996494</c:v>
                </c:pt>
                <c:pt idx="359">
                  <c:v>3.7268189305447192</c:v>
                </c:pt>
                <c:pt idx="360">
                  <c:v>3.8532171710759271</c:v>
                </c:pt>
                <c:pt idx="361">
                  <c:v>3.9817061187706431</c:v>
                </c:pt>
                <c:pt idx="362">
                  <c:v>4.1122595911919664</c:v>
                </c:pt>
                <c:pt idx="363">
                  <c:v>4.2448510813443727</c:v>
                </c:pt>
                <c:pt idx="364">
                  <c:v>4.37945376744121</c:v>
                </c:pt>
                <c:pt idx="365">
                  <c:v>4.5160405227749738</c:v>
                </c:pt>
                <c:pt idx="366">
                  <c:v>4.6545839256817407</c:v>
                </c:pt>
                <c:pt idx="367">
                  <c:v>4.7950562695913064</c:v>
                </c:pt>
                <c:pt idx="368">
                  <c:v>4.9374295731548798</c:v>
                </c:pt>
                <c:pt idx="369">
                  <c:v>5.081675590442428</c:v>
                </c:pt>
                <c:pt idx="370">
                  <c:v>5.2277658212018769</c:v>
                </c:pt>
                <c:pt idx="371">
                  <c:v>5.3756715211727073</c:v>
                </c:pt>
                <c:pt idx="372">
                  <c:v>5.5253637124465254</c:v>
                </c:pt>
                <c:pt idx="373">
                  <c:v>5.676813193867396</c:v>
                </c:pt>
                <c:pt idx="374">
                  <c:v>5.8299905514649462</c:v>
                </c:pt>
                <c:pt idx="375">
                  <c:v>5.9848661689132401</c:v>
                </c:pt>
                <c:pt idx="376">
                  <c:v>6.1414102380087252</c:v>
                </c:pt>
                <c:pt idx="377">
                  <c:v>6.2995927691605571</c:v>
                </c:pt>
                <c:pt idx="378">
                  <c:v>6.4593836018867723</c:v>
                </c:pt>
                <c:pt idx="379">
                  <c:v>6.6207524153099602</c:v>
                </c:pt>
                <c:pt idx="380">
                  <c:v>6.7836687386461021</c:v>
                </c:pt>
                <c:pt idx="381">
                  <c:v>6.9481019616804156</c:v>
                </c:pt>
                <c:pt idx="382">
                  <c:v>7.1140213452241667</c:v>
                </c:pt>
                <c:pt idx="383">
                  <c:v>7.2813960315465227</c:v>
                </c:pt>
                <c:pt idx="384">
                  <c:v>7.4501950547755698</c:v>
                </c:pt>
                <c:pt idx="385">
                  <c:v>7.6203873512628197</c:v>
                </c:pt>
                <c:pt idx="386">
                  <c:v>7.7919417699056268</c:v>
                </c:pt>
                <c:pt idx="387">
                  <c:v>7.9648270824219516</c:v>
                </c:pt>
                <c:pt idx="388">
                  <c:v>8.1390119935721597</c:v>
                </c:pt>
                <c:pt idx="389">
                  <c:v>8.3144651513225831</c:v>
                </c:pt>
                <c:pt idx="390">
                  <c:v>8.4911551569456645</c:v>
                </c:pt>
                <c:pt idx="391">
                  <c:v>8.6690505750517062</c:v>
                </c:pt>
                <c:pt idx="392">
                  <c:v>8.8481199435472391</c:v>
                </c:pt>
                <c:pt idx="393">
                  <c:v>9.0283317835153305</c:v>
                </c:pt>
                <c:pt idx="394">
                  <c:v>9.2096546090130005</c:v>
                </c:pt>
                <c:pt idx="395">
                  <c:v>9.3920569367813123</c:v>
                </c:pt>
                <c:pt idx="396">
                  <c:v>9.5755072958636624</c:v>
                </c:pt>
                <c:pt idx="397">
                  <c:v>9.7599742371279419</c:v>
                </c:pt>
                <c:pt idx="398">
                  <c:v>9.9454263426884015</c:v>
                </c:pt>
                <c:pt idx="399">
                  <c:v>10.131832235223133</c:v>
                </c:pt>
                <c:pt idx="400">
                  <c:v>10.319160587183251</c:v>
                </c:pt>
                <c:pt idx="401">
                  <c:v>10.507380129889954</c:v>
                </c:pt>
                <c:pt idx="402">
                  <c:v>10.696459662515752</c:v>
                </c:pt>
                <c:pt idx="403">
                  <c:v>10.886368060946358</c:v>
                </c:pt>
                <c:pt idx="404">
                  <c:v>11.07707428651976</c:v>
                </c:pt>
                <c:pt idx="405">
                  <c:v>11.268547394639199</c:v>
                </c:pt>
                <c:pt idx="406">
                  <c:v>11.460756543256888</c:v>
                </c:pt>
                <c:pt idx="407">
                  <c:v>11.653671001225378</c:v>
                </c:pt>
                <c:pt idx="408">
                  <c:v>11.847260156513791</c:v>
                </c:pt>
                <c:pt idx="409">
                  <c:v>12.041493524285976</c:v>
                </c:pt>
                <c:pt idx="410">
                  <c:v>12.236340754838023</c:v>
                </c:pt>
                <c:pt idx="411">
                  <c:v>12.431771641392688</c:v>
                </c:pt>
                <c:pt idx="412">
                  <c:v>12.627756127748185</c:v>
                </c:pt>
                <c:pt idx="413">
                  <c:v>12.824264315779189</c:v>
                </c:pt>
                <c:pt idx="414">
                  <c:v>13.02126647278798</c:v>
                </c:pt>
                <c:pt idx="415">
                  <c:v>13.218733038703556</c:v>
                </c:pt>
                <c:pt idx="416">
                  <c:v>13.416634633127025</c:v>
                </c:pt>
                <c:pt idx="417">
                  <c:v>13.614942062221429</c:v>
                </c:pt>
                <c:pt idx="418">
                  <c:v>13.813626325444508</c:v>
                </c:pt>
                <c:pt idx="419">
                  <c:v>14.0126586221227</c:v>
                </c:pt>
                <c:pt idx="420">
                  <c:v>14.212010357865344</c:v>
                </c:pt>
                <c:pt idx="421">
                  <c:v>14.411653150817544</c:v>
                </c:pt>
                <c:pt idx="422">
                  <c:v>14.611558837750808</c:v>
                </c:pt>
                <c:pt idx="423">
                  <c:v>14.811699479990338</c:v>
                </c:pt>
                <c:pt idx="424">
                  <c:v>15.01204736917825</c:v>
                </c:pt>
                <c:pt idx="425">
                  <c:v>15.212575032871831</c:v>
                </c:pt>
                <c:pt idx="426">
                  <c:v>15.413255239976358</c:v>
                </c:pt>
                <c:pt idx="427">
                  <c:v>15.614061006011879</c:v>
                </c:pt>
                <c:pt idx="428">
                  <c:v>15.814965598213583</c:v>
                </c:pt>
                <c:pt idx="429">
                  <c:v>16.015942540465602</c:v>
                </c:pt>
                <c:pt idx="430">
                  <c:v>16.216965618067853</c:v>
                </c:pt>
                <c:pt idx="431">
                  <c:v>16.418008882336157</c:v>
                </c:pt>
                <c:pt idx="432">
                  <c:v>16.619046655035472</c:v>
                </c:pt>
                <c:pt idx="433">
                  <c:v>16.820053532646526</c:v>
                </c:pt>
                <c:pt idx="434">
                  <c:v>17.021004390466054</c:v>
                </c:pt>
                <c:pt idx="435">
                  <c:v>17.221874386541092</c:v>
                </c:pt>
                <c:pt idx="436">
                  <c:v>17.422638965437791</c:v>
                </c:pt>
                <c:pt idx="437">
                  <c:v>17.62327386184522</c:v>
                </c:pt>
                <c:pt idx="438">
                  <c:v>17.823755104015031</c:v>
                </c:pt>
                <c:pt idx="439">
                  <c:v>18.024059017037498</c:v>
                </c:pt>
                <c:pt idx="440">
                  <c:v>18.224162225955066</c:v>
                </c:pt>
                <c:pt idx="441">
                  <c:v>18.424041658714174</c:v>
                </c:pt>
                <c:pt idx="442">
                  <c:v>18.623674548956398</c:v>
                </c:pt>
                <c:pt idx="443">
                  <c:v>18.823038438650105</c:v>
                </c:pt>
                <c:pt idx="444">
                  <c:v>19.022111180563861</c:v>
                </c:pt>
                <c:pt idx="445">
                  <c:v>19.220870940582646</c:v>
                </c:pt>
                <c:pt idx="446">
                  <c:v>19.419296199868526</c:v>
                </c:pt>
                <c:pt idx="447">
                  <c:v>19.617365756867098</c:v>
                </c:pt>
                <c:pt idx="448">
                  <c:v>19.815058729161052</c:v>
                </c:pt>
                <c:pt idx="449">
                  <c:v>20.012354555172756</c:v>
                </c:pt>
                <c:pt idx="450">
                  <c:v>20.209232995717212</c:v>
                </c:pt>
                <c:pt idx="451">
                  <c:v>20.405674135407235</c:v>
                </c:pt>
                <c:pt idx="452">
                  <c:v>20.601658383912614</c:v>
                </c:pt>
                <c:pt idx="453">
                  <c:v>20.797166477075098</c:v>
                </c:pt>
                <c:pt idx="454">
                  <c:v>20.992179477880917</c:v>
                </c:pt>
                <c:pt idx="455">
                  <c:v>21.1866787772931</c:v>
                </c:pt>
                <c:pt idx="456">
                  <c:v>21.380646094945277</c:v>
                </c:pt>
                <c:pt idx="457">
                  <c:v>21.574063479699237</c:v>
                </c:pt>
                <c:pt idx="458">
                  <c:v>21.76691331006807</c:v>
                </c:pt>
                <c:pt idx="459">
                  <c:v>21.959178294507321</c:v>
                </c:pt>
                <c:pt idx="460">
                  <c:v>22.150841471576118</c:v>
                </c:pt>
                <c:pt idx="461">
                  <c:v>22.341886209970507</c:v>
                </c:pt>
                <c:pt idx="462">
                  <c:v>22.53229620843139</c:v>
                </c:pt>
                <c:pt idx="463">
                  <c:v>22.722055495529091</c:v>
                </c:pt>
                <c:pt idx="464">
                  <c:v>22.911148429327163</c:v>
                </c:pt>
                <c:pt idx="465">
                  <c:v>23.099559696927496</c:v>
                </c:pt>
                <c:pt idx="466">
                  <c:v>23.287274313899278</c:v>
                </c:pt>
                <c:pt idx="467">
                  <c:v>23.47427762359413</c:v>
                </c:pt>
                <c:pt idx="468">
                  <c:v>23.660555296349866</c:v>
                </c:pt>
                <c:pt idx="469">
                  <c:v>23.846093328585194</c:v>
                </c:pt>
                <c:pt idx="470">
                  <c:v>24.030878041788057</c:v>
                </c:pt>
                <c:pt idx="471">
                  <c:v>24.214896081399772</c:v>
                </c:pt>
                <c:pt idx="472">
                  <c:v>24.398134415597625</c:v>
                </c:pt>
                <c:pt idx="473">
                  <c:v>24.580580333978503</c:v>
                </c:pt>
                <c:pt idx="474">
                  <c:v>24.762221446145798</c:v>
                </c:pt>
                <c:pt idx="475">
                  <c:v>24.943045680202307</c:v>
                </c:pt>
                <c:pt idx="476">
                  <c:v>25.123041281151494</c:v>
                </c:pt>
                <c:pt idx="477">
                  <c:v>25.302196809209853</c:v>
                </c:pt>
                <c:pt idx="478">
                  <c:v>25.48050113803248</c:v>
                </c:pt>
                <c:pt idx="479">
                  <c:v>25.657943452854866</c:v>
                </c:pt>
                <c:pt idx="480">
                  <c:v>25.834513248553041</c:v>
                </c:pt>
                <c:pt idx="481">
                  <c:v>26.010200327624677</c:v>
                </c:pt>
                <c:pt idx="482">
                  <c:v>26.184994798093751</c:v>
                </c:pt>
                <c:pt idx="483">
                  <c:v>26.358887071341115</c:v>
                </c:pt>
                <c:pt idx="484">
                  <c:v>26.531867859863628</c:v>
                </c:pt>
                <c:pt idx="485">
                  <c:v>26.70392817496408</c:v>
                </c:pt>
                <c:pt idx="486">
                  <c:v>26.875059324374512</c:v>
                </c:pt>
                <c:pt idx="487">
                  <c:v>27.045252909815542</c:v>
                </c:pt>
                <c:pt idx="488">
                  <c:v>27.214500824493683</c:v>
                </c:pt>
                <c:pt idx="489">
                  <c:v>27.382795250539456</c:v>
                </c:pt>
                <c:pt idx="490">
                  <c:v>27.550128656388594</c:v>
                </c:pt>
                <c:pt idx="491">
                  <c:v>27.716493794108619</c:v>
                </c:pt>
                <c:pt idx="492">
                  <c:v>27.881883696673118</c:v>
                </c:pt>
                <c:pt idx="493">
                  <c:v>28.046291675186243</c:v>
                </c:pt>
                <c:pt idx="494">
                  <c:v>28.20971131605959</c:v>
                </c:pt>
                <c:pt idx="495">
                  <c:v>28.372136478143734</c:v>
                </c:pt>
                <c:pt idx="496">
                  <c:v>28.533561289816706</c:v>
                </c:pt>
                <c:pt idx="497">
                  <c:v>28.693980146031663</c:v>
                </c:pt>
                <c:pt idx="498">
                  <c:v>28.853387705326011</c:v>
                </c:pt>
                <c:pt idx="499">
                  <c:v>29.011778886793891</c:v>
                </c:pt>
                <c:pt idx="500">
                  <c:v>29.169148867024568</c:v>
                </c:pt>
                <c:pt idx="501">
                  <c:v>29.325493077008467</c:v>
                </c:pt>
                <c:pt idx="502">
                  <c:v>29.480807199013267</c:v>
                </c:pt>
                <c:pt idx="503">
                  <c:v>29.635087163431706</c:v>
                </c:pt>
                <c:pt idx="504">
                  <c:v>29.788329145603686</c:v>
                </c:pt>
                <c:pt idx="505">
                  <c:v>29.940529562614042</c:v>
                </c:pt>
                <c:pt idx="506">
                  <c:v>30.09168507006833</c:v>
                </c:pt>
                <c:pt idx="507">
                  <c:v>30.24179255884853</c:v>
                </c:pt>
                <c:pt idx="508">
                  <c:v>30.39084915185046</c:v>
                </c:pt>
                <c:pt idx="509">
                  <c:v>30.538852200704525</c:v>
                </c:pt>
                <c:pt idx="510">
                  <c:v>30.685799282482325</c:v>
                </c:pt>
                <c:pt idx="511">
                  <c:v>30.831688196390004</c:v>
                </c:pt>
                <c:pt idx="512">
                  <c:v>30.976516960450805</c:v>
                </c:pt>
                <c:pt idx="513">
                  <c:v>31.120283808178161</c:v>
                </c:pt>
                <c:pt idx="514">
                  <c:v>31.262987185241183</c:v>
                </c:pt>
                <c:pt idx="515">
                  <c:v>31.404625746123987</c:v>
                </c:pt>
                <c:pt idx="516">
                  <c:v>31.545198350780719</c:v>
                </c:pt>
                <c:pt idx="517">
                  <c:v>31.684704061287658</c:v>
                </c:pt>
                <c:pt idx="518">
                  <c:v>31.823142138494003</c:v>
                </c:pt>
                <c:pt idx="519">
                  <c:v>31.960512038672785</c:v>
                </c:pt>
                <c:pt idx="520">
                  <c:v>32.096813410173411</c:v>
                </c:pt>
                <c:pt idx="521">
                  <c:v>32.232046090077276</c:v>
                </c:pt>
                <c:pt idx="522">
                  <c:v>32.366210100857792</c:v>
                </c:pt>
                <c:pt idx="523">
                  <c:v>32.499305647046135</c:v>
                </c:pt>
                <c:pt idx="524">
                  <c:v>32.631333111904127</c:v>
                </c:pt>
                <c:pt idx="525">
                  <c:v>32.762293054105498</c:v>
                </c:pt>
                <c:pt idx="526">
                  <c:v>32.892186204426622</c:v>
                </c:pt>
                <c:pt idx="527">
                  <c:v>33.021013462448124</c:v>
                </c:pt>
                <c:pt idx="528">
                  <c:v>33.148775893268606</c:v>
                </c:pt>
                <c:pt idx="529">
                  <c:v>33.275474724231046</c:v>
                </c:pt>
                <c:pt idx="530">
                  <c:v>33.401111341663885</c:v>
                </c:pt>
                <c:pt idx="531">
                  <c:v>33.401235697913116</c:v>
                </c:pt>
                <c:pt idx="532">
                  <c:v>33.401360053112619</c:v>
                </c:pt>
                <c:pt idx="533">
                  <c:v>33.401484407262366</c:v>
                </c:pt>
                <c:pt idx="534">
                  <c:v>33.401608760362372</c:v>
                </c:pt>
                <c:pt idx="535">
                  <c:v>33.401733112412643</c:v>
                </c:pt>
                <c:pt idx="536">
                  <c:v>33.401857463413172</c:v>
                </c:pt>
                <c:pt idx="537">
                  <c:v>33.401981813363975</c:v>
                </c:pt>
                <c:pt idx="538">
                  <c:v>33.402106162265042</c:v>
                </c:pt>
                <c:pt idx="539">
                  <c:v>33.402230510116382</c:v>
                </c:pt>
                <c:pt idx="540">
                  <c:v>33.402354856918002</c:v>
                </c:pt>
                <c:pt idx="541">
                  <c:v>33.402479202669873</c:v>
                </c:pt>
                <c:pt idx="542">
                  <c:v>33.402603547372031</c:v>
                </c:pt>
                <c:pt idx="543">
                  <c:v>33.402727891024448</c:v>
                </c:pt>
                <c:pt idx="544">
                  <c:v>33.402852233627172</c:v>
                </c:pt>
                <c:pt idx="545">
                  <c:v>33.402976575180169</c:v>
                </c:pt>
                <c:pt idx="546">
                  <c:v>33.403100915683424</c:v>
                </c:pt>
                <c:pt idx="547">
                  <c:v>33.403225255136995</c:v>
                </c:pt>
                <c:pt idx="548">
                  <c:v>33.403349593540817</c:v>
                </c:pt>
                <c:pt idx="549">
                  <c:v>33.403473930894947</c:v>
                </c:pt>
                <c:pt idx="550">
                  <c:v>33.403598267199342</c:v>
                </c:pt>
                <c:pt idx="551">
                  <c:v>33.403722602454032</c:v>
                </c:pt>
                <c:pt idx="552">
                  <c:v>33.403846936659022</c:v>
                </c:pt>
                <c:pt idx="553">
                  <c:v>33.403971269814285</c:v>
                </c:pt>
                <c:pt idx="554">
                  <c:v>33.404095601919849</c:v>
                </c:pt>
                <c:pt idx="555">
                  <c:v>33.404219932975714</c:v>
                </c:pt>
                <c:pt idx="556">
                  <c:v>33.404344262981859</c:v>
                </c:pt>
                <c:pt idx="557">
                  <c:v>33.404468591938326</c:v>
                </c:pt>
                <c:pt idx="558">
                  <c:v>33.404592919845086</c:v>
                </c:pt>
                <c:pt idx="559">
                  <c:v>33.404717246702155</c:v>
                </c:pt>
                <c:pt idx="560">
                  <c:v>33.404841572509497</c:v>
                </c:pt>
                <c:pt idx="561">
                  <c:v>33.404965897267175</c:v>
                </c:pt>
                <c:pt idx="562">
                  <c:v>33.405090220975147</c:v>
                </c:pt>
                <c:pt idx="563">
                  <c:v>33.405214543633427</c:v>
                </c:pt>
                <c:pt idx="564">
                  <c:v>33.405338865242008</c:v>
                </c:pt>
                <c:pt idx="565">
                  <c:v>33.405463185800919</c:v>
                </c:pt>
                <c:pt idx="566">
                  <c:v>33.40558750531013</c:v>
                </c:pt>
                <c:pt idx="567">
                  <c:v>33.405711823769664</c:v>
                </c:pt>
                <c:pt idx="568">
                  <c:v>33.405836141179499</c:v>
                </c:pt>
                <c:pt idx="569">
                  <c:v>33.405960457539663</c:v>
                </c:pt>
                <c:pt idx="570">
                  <c:v>33.40608477285015</c:v>
                </c:pt>
                <c:pt idx="571">
                  <c:v>33.406209087110952</c:v>
                </c:pt>
                <c:pt idx="572">
                  <c:v>33.406333400322076</c:v>
                </c:pt>
                <c:pt idx="573">
                  <c:v>33.40645771248353</c:v>
                </c:pt>
                <c:pt idx="574">
                  <c:v>33.406582023595305</c:v>
                </c:pt>
                <c:pt idx="575">
                  <c:v>33.406706333657397</c:v>
                </c:pt>
                <c:pt idx="576">
                  <c:v>33.406830642669831</c:v>
                </c:pt>
                <c:pt idx="577">
                  <c:v>33.406954950632596</c:v>
                </c:pt>
                <c:pt idx="578">
                  <c:v>33.407079257545703</c:v>
                </c:pt>
                <c:pt idx="579">
                  <c:v>33.407203563409134</c:v>
                </c:pt>
                <c:pt idx="580">
                  <c:v>33.407327868222914</c:v>
                </c:pt>
                <c:pt idx="581">
                  <c:v>33.407452171987018</c:v>
                </c:pt>
                <c:pt idx="582">
                  <c:v>33.407576474701479</c:v>
                </c:pt>
                <c:pt idx="583">
                  <c:v>33.407700776366248</c:v>
                </c:pt>
                <c:pt idx="584">
                  <c:v>33.407825076981368</c:v>
                </c:pt>
                <c:pt idx="585">
                  <c:v>33.407949376546853</c:v>
                </c:pt>
                <c:pt idx="586">
                  <c:v>33.40807367506266</c:v>
                </c:pt>
                <c:pt idx="587">
                  <c:v>33.408197972528853</c:v>
                </c:pt>
                <c:pt idx="588">
                  <c:v>33.408322268945355</c:v>
                </c:pt>
                <c:pt idx="589">
                  <c:v>33.408446564312221</c:v>
                </c:pt>
                <c:pt idx="590">
                  <c:v>33.408570858629453</c:v>
                </c:pt>
                <c:pt idx="591">
                  <c:v>33.408695151897014</c:v>
                </c:pt>
                <c:pt idx="592">
                  <c:v>33.408819444114918</c:v>
                </c:pt>
                <c:pt idx="593">
                  <c:v>33.408943735283209</c:v>
                </c:pt>
                <c:pt idx="594">
                  <c:v>33.409068025401851</c:v>
                </c:pt>
                <c:pt idx="595">
                  <c:v>33.409192314470872</c:v>
                </c:pt>
                <c:pt idx="596">
                  <c:v>33.409316602490229</c:v>
                </c:pt>
                <c:pt idx="597">
                  <c:v>33.409440889459958</c:v>
                </c:pt>
                <c:pt idx="598">
                  <c:v>33.409565175380052</c:v>
                </c:pt>
                <c:pt idx="599">
                  <c:v>33.409689460250526</c:v>
                </c:pt>
                <c:pt idx="600">
                  <c:v>33.409813744071364</c:v>
                </c:pt>
                <c:pt idx="601">
                  <c:v>33.409938026842553</c:v>
                </c:pt>
                <c:pt idx="602">
                  <c:v>33.410062308564136</c:v>
                </c:pt>
                <c:pt idx="603">
                  <c:v>33.410186589236083</c:v>
                </c:pt>
                <c:pt idx="604">
                  <c:v>33.41031086885841</c:v>
                </c:pt>
                <c:pt idx="605">
                  <c:v>33.410435147431116</c:v>
                </c:pt>
                <c:pt idx="606">
                  <c:v>33.410559424954194</c:v>
                </c:pt>
                <c:pt idx="607">
                  <c:v>33.410683701427658</c:v>
                </c:pt>
                <c:pt idx="608">
                  <c:v>33.410807976851494</c:v>
                </c:pt>
                <c:pt idx="609">
                  <c:v>33.410932251225738</c:v>
                </c:pt>
                <c:pt idx="610">
                  <c:v>33.411056524550347</c:v>
                </c:pt>
                <c:pt idx="611">
                  <c:v>33.411180796825349</c:v>
                </c:pt>
                <c:pt idx="612">
                  <c:v>33.41130506805073</c:v>
                </c:pt>
                <c:pt idx="613">
                  <c:v>33.411429338226533</c:v>
                </c:pt>
                <c:pt idx="614">
                  <c:v>33.411553607352694</c:v>
                </c:pt>
                <c:pt idx="615">
                  <c:v>33.411677875429255</c:v>
                </c:pt>
                <c:pt idx="616">
                  <c:v>33.411802142456217</c:v>
                </c:pt>
                <c:pt idx="617">
                  <c:v>33.411926408433573</c:v>
                </c:pt>
                <c:pt idx="618">
                  <c:v>33.412050673361328</c:v>
                </c:pt>
                <c:pt idx="619">
                  <c:v>33.412174937239492</c:v>
                </c:pt>
                <c:pt idx="620">
                  <c:v>33.412299200068034</c:v>
                </c:pt>
                <c:pt idx="621">
                  <c:v>33.412423461847013</c:v>
                </c:pt>
                <c:pt idx="622">
                  <c:v>33.41254772257637</c:v>
                </c:pt>
                <c:pt idx="623">
                  <c:v>33.412671982256128</c:v>
                </c:pt>
                <c:pt idx="624">
                  <c:v>33.412796240886301</c:v>
                </c:pt>
                <c:pt idx="625">
                  <c:v>33.412920498466889</c:v>
                </c:pt>
                <c:pt idx="626">
                  <c:v>33.413044754997891</c:v>
                </c:pt>
                <c:pt idx="627">
                  <c:v>33.413169010479315</c:v>
                </c:pt>
                <c:pt idx="628">
                  <c:v>33.413293264911132</c:v>
                </c:pt>
                <c:pt idx="629">
                  <c:v>33.413417518293379</c:v>
                </c:pt>
                <c:pt idx="630">
                  <c:v>33.413541770626047</c:v>
                </c:pt>
                <c:pt idx="631">
                  <c:v>33.413666021909115</c:v>
                </c:pt>
                <c:pt idx="632">
                  <c:v>33.413790272142627</c:v>
                </c:pt>
                <c:pt idx="633">
                  <c:v>33.413914521326561</c:v>
                </c:pt>
                <c:pt idx="634">
                  <c:v>33.414038769460937</c:v>
                </c:pt>
                <c:pt idx="635">
                  <c:v>33.414163016545714</c:v>
                </c:pt>
                <c:pt idx="636">
                  <c:v>33.414287262580913</c:v>
                </c:pt>
                <c:pt idx="637">
                  <c:v>33.41441150756657</c:v>
                </c:pt>
                <c:pt idx="638">
                  <c:v>33.41453575150264</c:v>
                </c:pt>
                <c:pt idx="639">
                  <c:v>33.41465999438914</c:v>
                </c:pt>
                <c:pt idx="640">
                  <c:v>33.414784236226076</c:v>
                </c:pt>
                <c:pt idx="641">
                  <c:v>33.414908477013469</c:v>
                </c:pt>
                <c:pt idx="642">
                  <c:v>33.41503271675127</c:v>
                </c:pt>
                <c:pt idx="643">
                  <c:v>33.415156955439521</c:v>
                </c:pt>
                <c:pt idx="644">
                  <c:v>33.415281193078229</c:v>
                </c:pt>
                <c:pt idx="645">
                  <c:v>33.415405429667366</c:v>
                </c:pt>
                <c:pt idx="646">
                  <c:v>33.415529665206954</c:v>
                </c:pt>
                <c:pt idx="647">
                  <c:v>33.415653899696999</c:v>
                </c:pt>
                <c:pt idx="648">
                  <c:v>33.415778133137465</c:v>
                </c:pt>
                <c:pt idx="649">
                  <c:v>33.41590236552841</c:v>
                </c:pt>
                <c:pt idx="650">
                  <c:v>33.41602659686977</c:v>
                </c:pt>
                <c:pt idx="651">
                  <c:v>33.416150827161623</c:v>
                </c:pt>
                <c:pt idx="652">
                  <c:v>33.416275056403897</c:v>
                </c:pt>
                <c:pt idx="653">
                  <c:v>33.41639928459665</c:v>
                </c:pt>
                <c:pt idx="654">
                  <c:v>33.416523511739854</c:v>
                </c:pt>
                <c:pt idx="655">
                  <c:v>33.416647737833514</c:v>
                </c:pt>
                <c:pt idx="656">
                  <c:v>33.416771962877633</c:v>
                </c:pt>
                <c:pt idx="657">
                  <c:v>33.416896186872222</c:v>
                </c:pt>
                <c:pt idx="658">
                  <c:v>33.417020409817283</c:v>
                </c:pt>
                <c:pt idx="659">
                  <c:v>33.417144631712794</c:v>
                </c:pt>
                <c:pt idx="660">
                  <c:v>33.41726885255877</c:v>
                </c:pt>
                <c:pt idx="661">
                  <c:v>33.417393072355232</c:v>
                </c:pt>
                <c:pt idx="662">
                  <c:v>33.417517291102158</c:v>
                </c:pt>
                <c:pt idx="663">
                  <c:v>33.417641508799541</c:v>
                </c:pt>
                <c:pt idx="664">
                  <c:v>33.417765725447438</c:v>
                </c:pt>
                <c:pt idx="665">
                  <c:v>33.417889941045786</c:v>
                </c:pt>
                <c:pt idx="666">
                  <c:v>33.418014155594619</c:v>
                </c:pt>
                <c:pt idx="667">
                  <c:v>33.41813836909391</c:v>
                </c:pt>
                <c:pt idx="668">
                  <c:v>33.418262581543686</c:v>
                </c:pt>
                <c:pt idx="669">
                  <c:v>33.418386792943949</c:v>
                </c:pt>
                <c:pt idx="670">
                  <c:v>33.418511003294711</c:v>
                </c:pt>
                <c:pt idx="671">
                  <c:v>33.418635212595944</c:v>
                </c:pt>
                <c:pt idx="672">
                  <c:v>33.418759420847699</c:v>
                </c:pt>
                <c:pt idx="673">
                  <c:v>33.418883628049898</c:v>
                </c:pt>
                <c:pt idx="674">
                  <c:v>33.41900783420261</c:v>
                </c:pt>
                <c:pt idx="675">
                  <c:v>33.419132039305815</c:v>
                </c:pt>
                <c:pt idx="676">
                  <c:v>33.419256243359506</c:v>
                </c:pt>
                <c:pt idx="677">
                  <c:v>33.419380446363718</c:v>
                </c:pt>
                <c:pt idx="678">
                  <c:v>33.419504648318402</c:v>
                </c:pt>
                <c:pt idx="679">
                  <c:v>33.419628849223599</c:v>
                </c:pt>
                <c:pt idx="680">
                  <c:v>33.41975304907929</c:v>
                </c:pt>
                <c:pt idx="681">
                  <c:v>33.419877247885481</c:v>
                </c:pt>
                <c:pt idx="682">
                  <c:v>33.420001445642164</c:v>
                </c:pt>
                <c:pt idx="683">
                  <c:v>33.420125642349369</c:v>
                </c:pt>
                <c:pt idx="684">
                  <c:v>33.420249838007088</c:v>
                </c:pt>
                <c:pt idx="685">
                  <c:v>33.420374032615328</c:v>
                </c:pt>
                <c:pt idx="686">
                  <c:v>33.420498226174054</c:v>
                </c:pt>
                <c:pt idx="687">
                  <c:v>33.42062241868328</c:v>
                </c:pt>
                <c:pt idx="688">
                  <c:v>33.420746610143048</c:v>
                </c:pt>
                <c:pt idx="689">
                  <c:v>33.420870800553338</c:v>
                </c:pt>
                <c:pt idx="690">
                  <c:v>33.420994989914135</c:v>
                </c:pt>
                <c:pt idx="691">
                  <c:v>33.421119178225446</c:v>
                </c:pt>
                <c:pt idx="692">
                  <c:v>33.421243365487285</c:v>
                </c:pt>
                <c:pt idx="693">
                  <c:v>33.421367551699639</c:v>
                </c:pt>
                <c:pt idx="694">
                  <c:v>33.421491736862514</c:v>
                </c:pt>
                <c:pt idx="695">
                  <c:v>33.421615920975931</c:v>
                </c:pt>
                <c:pt idx="696">
                  <c:v>33.421740104039849</c:v>
                </c:pt>
                <c:pt idx="697">
                  <c:v>33.421864286054301</c:v>
                </c:pt>
                <c:pt idx="698">
                  <c:v>33.421988467019304</c:v>
                </c:pt>
                <c:pt idx="699">
                  <c:v>33.422112646934835</c:v>
                </c:pt>
                <c:pt idx="700">
                  <c:v>33.42223682580088</c:v>
                </c:pt>
                <c:pt idx="701">
                  <c:v>33.422361003617496</c:v>
                </c:pt>
                <c:pt idx="702">
                  <c:v>33.422485180384633</c:v>
                </c:pt>
                <c:pt idx="703">
                  <c:v>33.422609356102299</c:v>
                </c:pt>
                <c:pt idx="704">
                  <c:v>33.422733530770529</c:v>
                </c:pt>
                <c:pt idx="705">
                  <c:v>33.42285770438928</c:v>
                </c:pt>
                <c:pt idx="706">
                  <c:v>33.422981876958573</c:v>
                </c:pt>
                <c:pt idx="707">
                  <c:v>33.423106048478431</c:v>
                </c:pt>
                <c:pt idx="708">
                  <c:v>33.423230218948802</c:v>
                </c:pt>
                <c:pt idx="709">
                  <c:v>33.423354388369766</c:v>
                </c:pt>
                <c:pt idx="710">
                  <c:v>33.423478556741244</c:v>
                </c:pt>
                <c:pt idx="711">
                  <c:v>33.423602724063301</c:v>
                </c:pt>
                <c:pt idx="712">
                  <c:v>33.423726890335914</c:v>
                </c:pt>
                <c:pt idx="713">
                  <c:v>33.423851055559055</c:v>
                </c:pt>
                <c:pt idx="714">
                  <c:v>33.423975219732768</c:v>
                </c:pt>
                <c:pt idx="715">
                  <c:v>33.424099382857037</c:v>
                </c:pt>
                <c:pt idx="716">
                  <c:v>33.42422354493187</c:v>
                </c:pt>
                <c:pt idx="717">
                  <c:v>33.424347705957274</c:v>
                </c:pt>
                <c:pt idx="718">
                  <c:v>33.424471865933242</c:v>
                </c:pt>
                <c:pt idx="719">
                  <c:v>33.424596024859774</c:v>
                </c:pt>
                <c:pt idx="720">
                  <c:v>33.424720182736877</c:v>
                </c:pt>
                <c:pt idx="721">
                  <c:v>33.424844339564537</c:v>
                </c:pt>
                <c:pt idx="722">
                  <c:v>33.424968495342767</c:v>
                </c:pt>
                <c:pt idx="723">
                  <c:v>33.425092650071583</c:v>
                </c:pt>
                <c:pt idx="724">
                  <c:v>33.425216803750963</c:v>
                </c:pt>
                <c:pt idx="725">
                  <c:v>33.425340956380921</c:v>
                </c:pt>
                <c:pt idx="726">
                  <c:v>33.425465107961465</c:v>
                </c:pt>
                <c:pt idx="727">
                  <c:v>33.425589258492579</c:v>
                </c:pt>
                <c:pt idx="728">
                  <c:v>33.425713407974278</c:v>
                </c:pt>
                <c:pt idx="729">
                  <c:v>33.425837556406542</c:v>
                </c:pt>
                <c:pt idx="730">
                  <c:v>33.42596170378939</c:v>
                </c:pt>
                <c:pt idx="731">
                  <c:v>33.42608585012286</c:v>
                </c:pt>
                <c:pt idx="732">
                  <c:v>33.4262099954069</c:v>
                </c:pt>
                <c:pt idx="733">
                  <c:v>33.426334139641511</c:v>
                </c:pt>
                <c:pt idx="734">
                  <c:v>33.426458282826722</c:v>
                </c:pt>
                <c:pt idx="735">
                  <c:v>33.426582424962561</c:v>
                </c:pt>
                <c:pt idx="736">
                  <c:v>33.426706566048956</c:v>
                </c:pt>
                <c:pt idx="737">
                  <c:v>33.42683070608593</c:v>
                </c:pt>
                <c:pt idx="738">
                  <c:v>33.426954845073531</c:v>
                </c:pt>
                <c:pt idx="739">
                  <c:v>33.427078983011747</c:v>
                </c:pt>
                <c:pt idx="740">
                  <c:v>33.427203119900533</c:v>
                </c:pt>
                <c:pt idx="741">
                  <c:v>33.427327255739925</c:v>
                </c:pt>
                <c:pt idx="742">
                  <c:v>33.427451390529939</c:v>
                </c:pt>
                <c:pt idx="743">
                  <c:v>33.427575524270544</c:v>
                </c:pt>
                <c:pt idx="744">
                  <c:v>33.427699656961749</c:v>
                </c:pt>
                <c:pt idx="745">
                  <c:v>33.427823788603575</c:v>
                </c:pt>
                <c:pt idx="746">
                  <c:v>33.427947919195994</c:v>
                </c:pt>
                <c:pt idx="747">
                  <c:v>33.428072048739047</c:v>
                </c:pt>
                <c:pt idx="748">
                  <c:v>33.428196177232707</c:v>
                </c:pt>
                <c:pt idx="749">
                  <c:v>33.42832030467698</c:v>
                </c:pt>
                <c:pt idx="750">
                  <c:v>33.428444431071881</c:v>
                </c:pt>
                <c:pt idx="751">
                  <c:v>33.428568556417382</c:v>
                </c:pt>
                <c:pt idx="752">
                  <c:v>33.428692680713517</c:v>
                </c:pt>
                <c:pt idx="753">
                  <c:v>33.428816803960288</c:v>
                </c:pt>
                <c:pt idx="754">
                  <c:v>33.428940926157665</c:v>
                </c:pt>
                <c:pt idx="755">
                  <c:v>33.429065047305677</c:v>
                </c:pt>
                <c:pt idx="756">
                  <c:v>33.429189167404303</c:v>
                </c:pt>
                <c:pt idx="757">
                  <c:v>33.429313286453578</c:v>
                </c:pt>
                <c:pt idx="758">
                  <c:v>33.429437404453466</c:v>
                </c:pt>
                <c:pt idx="759">
                  <c:v>33.429561521404004</c:v>
                </c:pt>
                <c:pt idx="760">
                  <c:v>33.42968563730517</c:v>
                </c:pt>
                <c:pt idx="761">
                  <c:v>33.429809752156956</c:v>
                </c:pt>
                <c:pt idx="762">
                  <c:v>33.429933865959384</c:v>
                </c:pt>
                <c:pt idx="763">
                  <c:v>33.430057978712455</c:v>
                </c:pt>
                <c:pt idx="764">
                  <c:v>33.430182090416181</c:v>
                </c:pt>
                <c:pt idx="765">
                  <c:v>33.430306201070543</c:v>
                </c:pt>
                <c:pt idx="766">
                  <c:v>33.43043031067554</c:v>
                </c:pt>
                <c:pt idx="767">
                  <c:v>33.4305544192312</c:v>
                </c:pt>
                <c:pt idx="768">
                  <c:v>33.430678526737495</c:v>
                </c:pt>
                <c:pt idx="769">
                  <c:v>33.430802633194446</c:v>
                </c:pt>
                <c:pt idx="770">
                  <c:v>33.430926738602047</c:v>
                </c:pt>
                <c:pt idx="771">
                  <c:v>33.431050842960275</c:v>
                </c:pt>
                <c:pt idx="772">
                  <c:v>33.431174946269188</c:v>
                </c:pt>
                <c:pt idx="773">
                  <c:v>33.43129904852875</c:v>
                </c:pt>
                <c:pt idx="774">
                  <c:v>33.431423149738961</c:v>
                </c:pt>
                <c:pt idx="775">
                  <c:v>33.431547249899822</c:v>
                </c:pt>
                <c:pt idx="776">
                  <c:v>33.431671349011367</c:v>
                </c:pt>
                <c:pt idx="777">
                  <c:v>33.431795447073561</c:v>
                </c:pt>
                <c:pt idx="778">
                  <c:v>33.431919544086426</c:v>
                </c:pt>
                <c:pt idx="779">
                  <c:v>33.432043640049947</c:v>
                </c:pt>
                <c:pt idx="780">
                  <c:v>33.432167734964146</c:v>
                </c:pt>
                <c:pt idx="781">
                  <c:v>33.432291828829008</c:v>
                </c:pt>
                <c:pt idx="782">
                  <c:v>33.432415921644548</c:v>
                </c:pt>
                <c:pt idx="783">
                  <c:v>33.432540013410758</c:v>
                </c:pt>
                <c:pt idx="784">
                  <c:v>33.432664104127632</c:v>
                </c:pt>
                <c:pt idx="785">
                  <c:v>33.432788193795197</c:v>
                </c:pt>
                <c:pt idx="786">
                  <c:v>33.432912282413433</c:v>
                </c:pt>
                <c:pt idx="787">
                  <c:v>33.433036369982347</c:v>
                </c:pt>
                <c:pt idx="788">
                  <c:v>33.433160456501945</c:v>
                </c:pt>
                <c:pt idx="789">
                  <c:v>33.433284541972213</c:v>
                </c:pt>
                <c:pt idx="790">
                  <c:v>33.433408626393181</c:v>
                </c:pt>
                <c:pt idx="791">
                  <c:v>33.433532709764847</c:v>
                </c:pt>
                <c:pt idx="792">
                  <c:v>33.433656792087177</c:v>
                </c:pt>
                <c:pt idx="793">
                  <c:v>33.433780873360213</c:v>
                </c:pt>
                <c:pt idx="794">
                  <c:v>33.433904953583941</c:v>
                </c:pt>
                <c:pt idx="795">
                  <c:v>33.434029032758353</c:v>
                </c:pt>
                <c:pt idx="796">
                  <c:v>33.434153110883457</c:v>
                </c:pt>
                <c:pt idx="797">
                  <c:v>33.43427718795926</c:v>
                </c:pt>
                <c:pt idx="798">
                  <c:v>33.43440126398577</c:v>
                </c:pt>
                <c:pt idx="799">
                  <c:v>33.43452533896297</c:v>
                </c:pt>
                <c:pt idx="800">
                  <c:v>33.43464941289087</c:v>
                </c:pt>
                <c:pt idx="801">
                  <c:v>33.434773485769476</c:v>
                </c:pt>
                <c:pt idx="802">
                  <c:v>33.434897557598788</c:v>
                </c:pt>
                <c:pt idx="803">
                  <c:v>33.435021628378799</c:v>
                </c:pt>
                <c:pt idx="804">
                  <c:v>33.435145698109515</c:v>
                </c:pt>
                <c:pt idx="805">
                  <c:v>33.435269766790945</c:v>
                </c:pt>
                <c:pt idx="806">
                  <c:v>33.435393834423103</c:v>
                </c:pt>
                <c:pt idx="807">
                  <c:v>33.435517901005966</c:v>
                </c:pt>
                <c:pt idx="808">
                  <c:v>33.435641966539521</c:v>
                </c:pt>
                <c:pt idx="809">
                  <c:v>33.435766031023803</c:v>
                </c:pt>
                <c:pt idx="810">
                  <c:v>33.435890094458792</c:v>
                </c:pt>
                <c:pt idx="811">
                  <c:v>33.436014156844529</c:v>
                </c:pt>
                <c:pt idx="812">
                  <c:v>33.436138218180957</c:v>
                </c:pt>
                <c:pt idx="813">
                  <c:v>33.436262278468114</c:v>
                </c:pt>
                <c:pt idx="814">
                  <c:v>33.436386337706011</c:v>
                </c:pt>
                <c:pt idx="815">
                  <c:v>33.436510395894658</c:v>
                </c:pt>
                <c:pt idx="816">
                  <c:v>33.436634453033975</c:v>
                </c:pt>
                <c:pt idx="817">
                  <c:v>33.436758509124061</c:v>
                </c:pt>
                <c:pt idx="818">
                  <c:v>33.436882564164861</c:v>
                </c:pt>
                <c:pt idx="819">
                  <c:v>33.43700661815641</c:v>
                </c:pt>
                <c:pt idx="820">
                  <c:v>33.437130671098693</c:v>
                </c:pt>
                <c:pt idx="821">
                  <c:v>33.437254722991696</c:v>
                </c:pt>
                <c:pt idx="822">
                  <c:v>33.437378773835455</c:v>
                </c:pt>
                <c:pt idx="823">
                  <c:v>33.437502823629941</c:v>
                </c:pt>
                <c:pt idx="824">
                  <c:v>33.437626872375176</c:v>
                </c:pt>
                <c:pt idx="825">
                  <c:v>33.437750920071153</c:v>
                </c:pt>
                <c:pt idx="826">
                  <c:v>33.437874966717864</c:v>
                </c:pt>
                <c:pt idx="827">
                  <c:v>33.437999012315345</c:v>
                </c:pt>
                <c:pt idx="828">
                  <c:v>33.438123056863539</c:v>
                </c:pt>
                <c:pt idx="829">
                  <c:v>33.43824710036251</c:v>
                </c:pt>
                <c:pt idx="830">
                  <c:v>33.438371142812215</c:v>
                </c:pt>
                <c:pt idx="831">
                  <c:v>33.438495184212677</c:v>
                </c:pt>
                <c:pt idx="832">
                  <c:v>33.438619224563901</c:v>
                </c:pt>
                <c:pt idx="833">
                  <c:v>33.438743263865888</c:v>
                </c:pt>
                <c:pt idx="834">
                  <c:v>33.438867302118624</c:v>
                </c:pt>
                <c:pt idx="835">
                  <c:v>33.438991339322122</c:v>
                </c:pt>
                <c:pt idx="836">
                  <c:v>33.439115375476369</c:v>
                </c:pt>
                <c:pt idx="837">
                  <c:v>33.439239410581393</c:v>
                </c:pt>
                <c:pt idx="838">
                  <c:v>33.439363444637181</c:v>
                </c:pt>
                <c:pt idx="839">
                  <c:v>33.439487477643752</c:v>
                </c:pt>
                <c:pt idx="840">
                  <c:v>33.439611509601065</c:v>
                </c:pt>
                <c:pt idx="841">
                  <c:v>33.439735540509155</c:v>
                </c:pt>
                <c:pt idx="842">
                  <c:v>33.439859570368</c:v>
                </c:pt>
                <c:pt idx="843">
                  <c:v>33.439983599177658</c:v>
                </c:pt>
                <c:pt idx="844">
                  <c:v>33.440107626938079</c:v>
                </c:pt>
                <c:pt idx="845">
                  <c:v>33.440231653649256</c:v>
                </c:pt>
                <c:pt idx="846">
                  <c:v>33.440355679311224</c:v>
                </c:pt>
                <c:pt idx="847">
                  <c:v>33.440479703923977</c:v>
                </c:pt>
                <c:pt idx="848">
                  <c:v>33.440603727487485</c:v>
                </c:pt>
                <c:pt idx="849">
                  <c:v>33.440727750001798</c:v>
                </c:pt>
                <c:pt idx="850">
                  <c:v>33.440851771466903</c:v>
                </c:pt>
                <c:pt idx="851">
                  <c:v>33.440975791882785</c:v>
                </c:pt>
                <c:pt idx="852">
                  <c:v>33.441099811249451</c:v>
                </c:pt>
                <c:pt idx="853">
                  <c:v>33.441223829566916</c:v>
                </c:pt>
                <c:pt idx="854">
                  <c:v>33.441347846835185</c:v>
                </c:pt>
                <c:pt idx="855">
                  <c:v>33.441471863054232</c:v>
                </c:pt>
                <c:pt idx="856">
                  <c:v>33.441595878224092</c:v>
                </c:pt>
                <c:pt idx="857">
                  <c:v>33.441719892344729</c:v>
                </c:pt>
                <c:pt idx="858">
                  <c:v>33.441843905416171</c:v>
                </c:pt>
                <c:pt idx="859">
                  <c:v>33.44196791743839</c:v>
                </c:pt>
                <c:pt idx="860">
                  <c:v>33.442091928411436</c:v>
                </c:pt>
                <c:pt idx="861">
                  <c:v>33.442215938335295</c:v>
                </c:pt>
                <c:pt idx="862">
                  <c:v>33.442339947209938</c:v>
                </c:pt>
                <c:pt idx="863">
                  <c:v>33.4424639550354</c:v>
                </c:pt>
                <c:pt idx="864">
                  <c:v>33.442587961811682</c:v>
                </c:pt>
                <c:pt idx="865">
                  <c:v>33.442711967538749</c:v>
                </c:pt>
                <c:pt idx="866">
                  <c:v>33.442835972216621</c:v>
                </c:pt>
                <c:pt idx="867">
                  <c:v>33.442959975845319</c:v>
                </c:pt>
                <c:pt idx="868">
                  <c:v>33.443083978424838</c:v>
                </c:pt>
                <c:pt idx="869">
                  <c:v>33.443207979955183</c:v>
                </c:pt>
                <c:pt idx="870">
                  <c:v>33.443331980436312</c:v>
                </c:pt>
                <c:pt idx="871">
                  <c:v>33.443455979868297</c:v>
                </c:pt>
                <c:pt idx="872">
                  <c:v>33.443579978251094</c:v>
                </c:pt>
                <c:pt idx="873">
                  <c:v>33.443703975584711</c:v>
                </c:pt>
                <c:pt idx="874">
                  <c:v>33.443827971869155</c:v>
                </c:pt>
                <c:pt idx="875">
                  <c:v>33.443951967104425</c:v>
                </c:pt>
                <c:pt idx="876">
                  <c:v>33.444075961290551</c:v>
                </c:pt>
                <c:pt idx="877">
                  <c:v>33.444199954427468</c:v>
                </c:pt>
                <c:pt idx="878">
                  <c:v>33.444323946515233</c:v>
                </c:pt>
                <c:pt idx="879">
                  <c:v>33.444447937553846</c:v>
                </c:pt>
                <c:pt idx="880">
                  <c:v>33.444571927543272</c:v>
                </c:pt>
                <c:pt idx="881">
                  <c:v>33.444695916483539</c:v>
                </c:pt>
                <c:pt idx="882">
                  <c:v>33.444819904374661</c:v>
                </c:pt>
                <c:pt idx="883">
                  <c:v>33.44494389121661</c:v>
                </c:pt>
                <c:pt idx="884">
                  <c:v>33.445067877009407</c:v>
                </c:pt>
                <c:pt idx="885">
                  <c:v>33.445191861753038</c:v>
                </c:pt>
                <c:pt idx="886">
                  <c:v>33.445315845447531</c:v>
                </c:pt>
                <c:pt idx="887">
                  <c:v>33.445439828092859</c:v>
                </c:pt>
                <c:pt idx="888">
                  <c:v>33.445563809689048</c:v>
                </c:pt>
                <c:pt idx="889">
                  <c:v>33.445687790236072</c:v>
                </c:pt>
                <c:pt idx="890">
                  <c:v>33.445811769733957</c:v>
                </c:pt>
                <c:pt idx="891">
                  <c:v>33.445935748182698</c:v>
                </c:pt>
                <c:pt idx="892">
                  <c:v>33.44605972558228</c:v>
                </c:pt>
                <c:pt idx="893">
                  <c:v>33.446183701932732</c:v>
                </c:pt>
                <c:pt idx="894">
                  <c:v>33.446307677234053</c:v>
                </c:pt>
                <c:pt idx="895">
                  <c:v>33.446431651486208</c:v>
                </c:pt>
                <c:pt idx="896">
                  <c:v>33.446555624689232</c:v>
                </c:pt>
                <c:pt idx="897">
                  <c:v>33.446679596843119</c:v>
                </c:pt>
                <c:pt idx="898">
                  <c:v>33.44680356794791</c:v>
                </c:pt>
                <c:pt idx="899">
                  <c:v>33.44692753800355</c:v>
                </c:pt>
                <c:pt idx="900">
                  <c:v>33.44705150701003</c:v>
                </c:pt>
                <c:pt idx="901">
                  <c:v>33.447175474967395</c:v>
                </c:pt>
                <c:pt idx="902">
                  <c:v>33.447299441875657</c:v>
                </c:pt>
                <c:pt idx="903">
                  <c:v>33.447423407734782</c:v>
                </c:pt>
                <c:pt idx="904">
                  <c:v>33.447547372544761</c:v>
                </c:pt>
                <c:pt idx="905">
                  <c:v>33.447671336305632</c:v>
                </c:pt>
                <c:pt idx="906">
                  <c:v>33.4477952990174</c:v>
                </c:pt>
                <c:pt idx="907">
                  <c:v>33.447919260680031</c:v>
                </c:pt>
                <c:pt idx="908">
                  <c:v>33.448043221293553</c:v>
                </c:pt>
                <c:pt idx="909">
                  <c:v>33.448167180857958</c:v>
                </c:pt>
                <c:pt idx="910">
                  <c:v>33.448291139373246</c:v>
                </c:pt>
                <c:pt idx="911">
                  <c:v>33.448415096839426</c:v>
                </c:pt>
                <c:pt idx="912">
                  <c:v>33.448539053256489</c:v>
                </c:pt>
                <c:pt idx="913">
                  <c:v>33.448663008624457</c:v>
                </c:pt>
                <c:pt idx="914">
                  <c:v>33.448786962943288</c:v>
                </c:pt>
                <c:pt idx="915">
                  <c:v>33.448910916213052</c:v>
                </c:pt>
                <c:pt idx="916">
                  <c:v>33.449034868433685</c:v>
                </c:pt>
                <c:pt idx="917">
                  <c:v>33.449158819605231</c:v>
                </c:pt>
                <c:pt idx="918">
                  <c:v>33.449282769727674</c:v>
                </c:pt>
                <c:pt idx="919">
                  <c:v>33.449406718801015</c:v>
                </c:pt>
                <c:pt idx="920">
                  <c:v>33.449530666825268</c:v>
                </c:pt>
                <c:pt idx="921">
                  <c:v>33.449654613800412</c:v>
                </c:pt>
                <c:pt idx="922">
                  <c:v>33.449778559726461</c:v>
                </c:pt>
                <c:pt idx="923">
                  <c:v>33.449902504603443</c:v>
                </c:pt>
                <c:pt idx="924">
                  <c:v>33.450026448431316</c:v>
                </c:pt>
                <c:pt idx="925">
                  <c:v>33.45015039121008</c:v>
                </c:pt>
                <c:pt idx="926">
                  <c:v>33.450274332939792</c:v>
                </c:pt>
                <c:pt idx="927">
                  <c:v>33.450398273620401</c:v>
                </c:pt>
                <c:pt idx="928">
                  <c:v>33.450522213251922</c:v>
                </c:pt>
                <c:pt idx="929">
                  <c:v>33.450646151834391</c:v>
                </c:pt>
                <c:pt idx="930">
                  <c:v>33.450770089367758</c:v>
                </c:pt>
                <c:pt idx="931">
                  <c:v>33.450894025852037</c:v>
                </c:pt>
                <c:pt idx="932">
                  <c:v>33.451017961287263</c:v>
                </c:pt>
                <c:pt idx="933">
                  <c:v>33.451141895673409</c:v>
                </c:pt>
                <c:pt idx="934">
                  <c:v>33.451265829010474</c:v>
                </c:pt>
                <c:pt idx="935">
                  <c:v>33.451389761298472</c:v>
                </c:pt>
                <c:pt idx="936">
                  <c:v>33.451513692537411</c:v>
                </c:pt>
                <c:pt idx="937">
                  <c:v>33.451637622727262</c:v>
                </c:pt>
                <c:pt idx="938">
                  <c:v>33.451761551868067</c:v>
                </c:pt>
                <c:pt idx="939">
                  <c:v>33.451885479959792</c:v>
                </c:pt>
                <c:pt idx="940">
                  <c:v>33.452009407002443</c:v>
                </c:pt>
                <c:pt idx="941">
                  <c:v>33.452133332996048</c:v>
                </c:pt>
                <c:pt idx="942">
                  <c:v>33.452257257940602</c:v>
                </c:pt>
                <c:pt idx="943">
                  <c:v>33.452381181836088</c:v>
                </c:pt>
                <c:pt idx="944">
                  <c:v>33.452505104682537</c:v>
                </c:pt>
                <c:pt idx="945">
                  <c:v>33.452629026479919</c:v>
                </c:pt>
                <c:pt idx="946">
                  <c:v>33.452752947228241</c:v>
                </c:pt>
                <c:pt idx="947">
                  <c:v>33.452876866927511</c:v>
                </c:pt>
                <c:pt idx="948">
                  <c:v>33.453000785577743</c:v>
                </c:pt>
                <c:pt idx="949">
                  <c:v>33.453124703178929</c:v>
                </c:pt>
                <c:pt idx="950">
                  <c:v>33.453248619731049</c:v>
                </c:pt>
                <c:pt idx="951">
                  <c:v>33.453372535234131</c:v>
                </c:pt>
                <c:pt idx="952">
                  <c:v>33.453496449688195</c:v>
                </c:pt>
                <c:pt idx="953">
                  <c:v>33.453620363093201</c:v>
                </c:pt>
                <c:pt idx="954">
                  <c:v>33.453744275449161</c:v>
                </c:pt>
                <c:pt idx="955">
                  <c:v>33.453868186756083</c:v>
                </c:pt>
                <c:pt idx="956">
                  <c:v>33.453992097013995</c:v>
                </c:pt>
                <c:pt idx="957">
                  <c:v>33.454116006222847</c:v>
                </c:pt>
                <c:pt idx="958">
                  <c:v>33.454239914382676</c:v>
                </c:pt>
                <c:pt idx="959">
                  <c:v>33.454363821493459</c:v>
                </c:pt>
                <c:pt idx="960">
                  <c:v>33.454487727555239</c:v>
                </c:pt>
                <c:pt idx="961">
                  <c:v>33.454611632567996</c:v>
                </c:pt>
                <c:pt idx="962">
                  <c:v>33.454735536531715</c:v>
                </c:pt>
                <c:pt idx="963">
                  <c:v>33.454859439446402</c:v>
                </c:pt>
                <c:pt idx="964">
                  <c:v>33.454983341312058</c:v>
                </c:pt>
                <c:pt idx="965">
                  <c:v>33.455107242128712</c:v>
                </c:pt>
                <c:pt idx="966">
                  <c:v>33.45523114189632</c:v>
                </c:pt>
                <c:pt idx="967">
                  <c:v>33.455355040614961</c:v>
                </c:pt>
                <c:pt idx="968">
                  <c:v>33.455478938284564</c:v>
                </c:pt>
                <c:pt idx="969">
                  <c:v>33.455602834905129</c:v>
                </c:pt>
                <c:pt idx="970">
                  <c:v>33.455726730476727</c:v>
                </c:pt>
                <c:pt idx="971">
                  <c:v>33.455850624999279</c:v>
                </c:pt>
                <c:pt idx="972">
                  <c:v>33.455974518472836</c:v>
                </c:pt>
                <c:pt idx="973">
                  <c:v>33.456098410897383</c:v>
                </c:pt>
                <c:pt idx="974">
                  <c:v>33.456222302272927</c:v>
                </c:pt>
                <c:pt idx="975">
                  <c:v>33.456346192599455</c:v>
                </c:pt>
                <c:pt idx="976">
                  <c:v>33.456470081877008</c:v>
                </c:pt>
                <c:pt idx="977">
                  <c:v>33.456593970105544</c:v>
                </c:pt>
                <c:pt idx="978">
                  <c:v>33.456717857285071</c:v>
                </c:pt>
                <c:pt idx="979">
                  <c:v>33.456841743415616</c:v>
                </c:pt>
                <c:pt idx="980">
                  <c:v>33.456965628497151</c:v>
                </c:pt>
                <c:pt idx="981">
                  <c:v>33.457089512529727</c:v>
                </c:pt>
                <c:pt idx="982">
                  <c:v>33.457213395513286</c:v>
                </c:pt>
                <c:pt idx="983">
                  <c:v>33.457337277447856</c:v>
                </c:pt>
                <c:pt idx="984">
                  <c:v>33.457461158333444</c:v>
                </c:pt>
                <c:pt idx="985">
                  <c:v>33.457585038170045</c:v>
                </c:pt>
                <c:pt idx="986">
                  <c:v>33.457708916957642</c:v>
                </c:pt>
                <c:pt idx="987">
                  <c:v>33.45783279469628</c:v>
                </c:pt>
                <c:pt idx="988">
                  <c:v>33.457956671385922</c:v>
                </c:pt>
                <c:pt idx="989">
                  <c:v>33.458080547026597</c:v>
                </c:pt>
                <c:pt idx="990">
                  <c:v>33.458204421618305</c:v>
                </c:pt>
                <c:pt idx="991">
                  <c:v>33.45832829516101</c:v>
                </c:pt>
                <c:pt idx="992">
                  <c:v>33.458452167654748</c:v>
                </c:pt>
                <c:pt idx="993">
                  <c:v>33.458576039099512</c:v>
                </c:pt>
                <c:pt idx="994">
                  <c:v>33.458699909495316</c:v>
                </c:pt>
                <c:pt idx="995">
                  <c:v>33.458823778842145</c:v>
                </c:pt>
                <c:pt idx="996">
                  <c:v>33.458947647140008</c:v>
                </c:pt>
                <c:pt idx="997">
                  <c:v>33.459071514388917</c:v>
                </c:pt>
                <c:pt idx="998">
                  <c:v>33.459195380588838</c:v>
                </c:pt>
                <c:pt idx="999">
                  <c:v>33.459319245739785</c:v>
                </c:pt>
                <c:pt idx="1000">
                  <c:v>33.4594431098418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8D6-934B-5D8E0316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0672"/>
        <c:axId val="149502592"/>
      </c:scatterChart>
      <c:valAx>
        <c:axId val="149500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2592"/>
        <c:crosses val="autoZero"/>
        <c:crossBetween val="midCat"/>
      </c:valAx>
      <c:valAx>
        <c:axId val="149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333343832020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18929827167842"/>
          <c:y val="0.34444479440069992"/>
          <c:w val="0.13050326845936713"/>
          <c:h val="0.22888888888888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16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132.15</c:v>
                </c:pt>
                <c:pt idx="1">
                  <c:v>132.13505366259892</c:v>
                </c:pt>
                <c:pt idx="2">
                  <c:v>132.42073715148021</c:v>
                </c:pt>
                <c:pt idx="3">
                  <c:v>132.83253640226067</c:v>
                </c:pt>
                <c:pt idx="4">
                  <c:v>133.19593963220316</c:v>
                </c:pt>
                <c:pt idx="5">
                  <c:v>133.53399340727879</c:v>
                </c:pt>
                <c:pt idx="6">
                  <c:v>133.86974536852679</c:v>
                </c:pt>
                <c:pt idx="7">
                  <c:v>134.20319544676917</c:v>
                </c:pt>
                <c:pt idx="8">
                  <c:v>134.53434359825025</c:v>
                </c:pt>
                <c:pt idx="9">
                  <c:v>134.86318980449676</c:v>
                </c:pt>
                <c:pt idx="10">
                  <c:v>135.18973407217754</c:v>
                </c:pt>
                <c:pt idx="11">
                  <c:v>135.51397643296249</c:v>
                </c:pt>
                <c:pt idx="12">
                  <c:v>135.83591694338122</c:v>
                </c:pt>
                <c:pt idx="13">
                  <c:v>136.15555568468093</c:v>
                </c:pt>
                <c:pt idx="14">
                  <c:v>136.47289276268404</c:v>
                </c:pt>
                <c:pt idx="15">
                  <c:v>136.78792830764505</c:v>
                </c:pt>
                <c:pt idx="16">
                  <c:v>137.100662474107</c:v>
                </c:pt>
                <c:pt idx="17">
                  <c:v>137.41109544075772</c:v>
                </c:pt>
                <c:pt idx="18">
                  <c:v>137.71922741028516</c:v>
                </c:pt>
                <c:pt idx="19">
                  <c:v>138.02505860923247</c:v>
                </c:pt>
                <c:pt idx="20">
                  <c:v>138.32858928785296</c:v>
                </c:pt>
                <c:pt idx="21">
                  <c:v>138.62981971996399</c:v>
                </c:pt>
                <c:pt idx="22">
                  <c:v>138.92875020280107</c:v>
                </c:pt>
                <c:pt idx="23">
                  <c:v>139.22538105687096</c:v>
                </c:pt>
                <c:pt idx="24">
                  <c:v>139.51971262580514</c:v>
                </c:pt>
                <c:pt idx="25">
                  <c:v>139.81174527621209</c:v>
                </c:pt>
                <c:pt idx="26">
                  <c:v>140.10147939752972</c:v>
                </c:pt>
                <c:pt idx="27">
                  <c:v>140.38891540187728</c:v>
                </c:pt>
                <c:pt idx="28">
                  <c:v>140.67405372390704</c:v>
                </c:pt>
                <c:pt idx="29">
                  <c:v>140.95689482065532</c:v>
                </c:pt>
                <c:pt idx="30">
                  <c:v>141.23743917139373</c:v>
                </c:pt>
                <c:pt idx="31">
                  <c:v>141.51568727747954</c:v>
                </c:pt>
                <c:pt idx="32">
                  <c:v>141.79163966220619</c:v>
                </c:pt>
                <c:pt idx="33">
                  <c:v>142.06529687065321</c:v>
                </c:pt>
                <c:pt idx="34">
                  <c:v>142.33665946953607</c:v>
                </c:pt>
                <c:pt idx="35">
                  <c:v>142.60572804705572</c:v>
                </c:pt>
                <c:pt idx="36">
                  <c:v>142.8725032127478</c:v>
                </c:pt>
                <c:pt idx="37">
                  <c:v>143.13698559733163</c:v>
                </c:pt>
                <c:pt idx="38">
                  <c:v>143.39917585255915</c:v>
                </c:pt>
                <c:pt idx="39">
                  <c:v>143.65907465106332</c:v>
                </c:pt>
                <c:pt idx="40">
                  <c:v>143.91668268620666</c:v>
                </c:pt>
                <c:pt idx="41">
                  <c:v>144.17200067192937</c:v>
                </c:pt>
                <c:pt idx="42">
                  <c:v>144.42502934259721</c:v>
                </c:pt>
                <c:pt idx="43">
                  <c:v>144.67576945284955</c:v>
                </c:pt>
                <c:pt idx="44">
                  <c:v>144.92422177744692</c:v>
                </c:pt>
                <c:pt idx="45">
                  <c:v>145.17038711111837</c:v>
                </c:pt>
                <c:pt idx="46">
                  <c:v>145.41426626840919</c:v>
                </c:pt>
                <c:pt idx="47">
                  <c:v>145.65586008352778</c:v>
                </c:pt>
                <c:pt idx="48">
                  <c:v>145.89516941019309</c:v>
                </c:pt>
                <c:pt idx="49">
                  <c:v>146.13219512148135</c:v>
                </c:pt>
                <c:pt idx="50">
                  <c:v>146.36693810967321</c:v>
                </c:pt>
                <c:pt idx="51">
                  <c:v>146.59939928610044</c:v>
                </c:pt>
                <c:pt idx="52">
                  <c:v>146.82957958099269</c:v>
                </c:pt>
                <c:pt idx="53">
                  <c:v>147.0574799433243</c:v>
                </c:pt>
                <c:pt idx="54">
                  <c:v>147.28310134066066</c:v>
                </c:pt>
                <c:pt idx="55">
                  <c:v>147.50644475900506</c:v>
                </c:pt>
                <c:pt idx="56">
                  <c:v>147.72751120264505</c:v>
                </c:pt>
                <c:pt idx="57">
                  <c:v>147.946301693999</c:v>
                </c:pt>
                <c:pt idx="58">
                  <c:v>148.16281727346257</c:v>
                </c:pt>
                <c:pt idx="59">
                  <c:v>148.37705899925524</c:v>
                </c:pt>
                <c:pt idx="60">
                  <c:v>148.58902794726671</c:v>
                </c:pt>
                <c:pt idx="61">
                  <c:v>148.79872521090348</c:v>
                </c:pt>
                <c:pt idx="62">
                  <c:v>149.00615190093529</c:v>
                </c:pt>
                <c:pt idx="63">
                  <c:v>149.20931053915552</c:v>
                </c:pt>
                <c:pt idx="64">
                  <c:v>149.40620449197471</c:v>
                </c:pt>
                <c:pt idx="65">
                  <c:v>149.59683743353358</c:v>
                </c:pt>
                <c:pt idx="66">
                  <c:v>149.78121312240799</c:v>
                </c:pt>
                <c:pt idx="67">
                  <c:v>149.95750367905435</c:v>
                </c:pt>
                <c:pt idx="68">
                  <c:v>150.1238822040321</c:v>
                </c:pt>
                <c:pt idx="69">
                  <c:v>150.27709770020067</c:v>
                </c:pt>
                <c:pt idx="70">
                  <c:v>150.41390117290243</c:v>
                </c:pt>
                <c:pt idx="71">
                  <c:v>150.53430447839102</c:v>
                </c:pt>
                <c:pt idx="72">
                  <c:v>150.63831993349274</c:v>
                </c:pt>
                <c:pt idx="73">
                  <c:v>150.72596030825568</c:v>
                </c:pt>
                <c:pt idx="74">
                  <c:v>150.79723881858501</c:v>
                </c:pt>
                <c:pt idx="75">
                  <c:v>150.85216911886633</c:v>
                </c:pt>
                <c:pt idx="76">
                  <c:v>150.89076529457861</c:v>
                </c:pt>
                <c:pt idx="77">
                  <c:v>150.91304185489889</c:v>
                </c:pt>
                <c:pt idx="78">
                  <c:v>150.91901372530018</c:v>
                </c:pt>
                <c:pt idx="79">
                  <c:v>150.90869624014471</c:v>
                </c:pt>
                <c:pt idx="80">
                  <c:v>150.88210513527397</c:v>
                </c:pt>
                <c:pt idx="81">
                  <c:v>150.84313022520166</c:v>
                </c:pt>
                <c:pt idx="82">
                  <c:v>150.79565793756001</c:v>
                </c:pt>
                <c:pt idx="83">
                  <c:v>150.73969690858735</c:v>
                </c:pt>
                <c:pt idx="84">
                  <c:v>150.67525586716127</c:v>
                </c:pt>
                <c:pt idx="85">
                  <c:v>150.60234363280583</c:v>
                </c:pt>
                <c:pt idx="86">
                  <c:v>150.52096911370455</c:v>
                </c:pt>
                <c:pt idx="87">
                  <c:v>150.43114130471935</c:v>
                </c:pt>
                <c:pt idx="88">
                  <c:v>150.33286928541594</c:v>
                </c:pt>
                <c:pt idx="89">
                  <c:v>150.22738601194521</c:v>
                </c:pt>
                <c:pt idx="90">
                  <c:v>150.11592318864595</c:v>
                </c:pt>
                <c:pt idx="91">
                  <c:v>149.99848735198489</c:v>
                </c:pt>
                <c:pt idx="92">
                  <c:v>149.87508507039783</c:v>
                </c:pt>
                <c:pt idx="93">
                  <c:v>149.74602893030021</c:v>
                </c:pt>
                <c:pt idx="94">
                  <c:v>149.61163120275802</c:v>
                </c:pt>
                <c:pt idx="95">
                  <c:v>149.47189783468568</c:v>
                </c:pt>
                <c:pt idx="96">
                  <c:v>149.32683479324882</c:v>
                </c:pt>
                <c:pt idx="97">
                  <c:v>149.17767210984755</c:v>
                </c:pt>
                <c:pt idx="98">
                  <c:v>149.02563841131382</c:v>
                </c:pt>
                <c:pt idx="99">
                  <c:v>148.8707368243148</c:v>
                </c:pt>
                <c:pt idx="100">
                  <c:v>148.7129704741744</c:v>
                </c:pt>
                <c:pt idx="101">
                  <c:v>148.55234248468014</c:v>
                </c:pt>
                <c:pt idx="102">
                  <c:v>148.38885597789044</c:v>
                </c:pt>
                <c:pt idx="103">
                  <c:v>148.22251407394347</c:v>
                </c:pt>
                <c:pt idx="104">
                  <c:v>148.05331989086702</c:v>
                </c:pt>
                <c:pt idx="105">
                  <c:v>147.88127654438949</c:v>
                </c:pt>
                <c:pt idx="106">
                  <c:v>147.70638714775194</c:v>
                </c:pt>
                <c:pt idx="107">
                  <c:v>147.52865481152145</c:v>
                </c:pt>
                <c:pt idx="108">
                  <c:v>147.34808264340532</c:v>
                </c:pt>
                <c:pt idx="109">
                  <c:v>147.16620392750568</c:v>
                </c:pt>
                <c:pt idx="110">
                  <c:v>146.984550095527</c:v>
                </c:pt>
                <c:pt idx="111">
                  <c:v>146.80312055468596</c:v>
                </c:pt>
                <c:pt idx="112">
                  <c:v>146.6219147142412</c:v>
                </c:pt>
                <c:pt idx="113">
                  <c:v>146.44093198548478</c:v>
                </c:pt>
                <c:pt idx="114">
                  <c:v>146.26017178173339</c:v>
                </c:pt>
                <c:pt idx="115">
                  <c:v>146.07963351831964</c:v>
                </c:pt>
                <c:pt idx="116">
                  <c:v>145.89931661258348</c:v>
                </c:pt>
                <c:pt idx="117">
                  <c:v>145.71922048386364</c:v>
                </c:pt>
                <c:pt idx="118">
                  <c:v>145.53934455348909</c:v>
                </c:pt>
                <c:pt idx="119">
                  <c:v>145.35968824477052</c:v>
                </c:pt>
                <c:pt idx="120">
                  <c:v>145.18025098299199</c:v>
                </c:pt>
                <c:pt idx="121">
                  <c:v>145.00103219540242</c:v>
                </c:pt>
                <c:pt idx="122">
                  <c:v>144.8220313112073</c:v>
                </c:pt>
                <c:pt idx="123">
                  <c:v>144.64324776156033</c:v>
                </c:pt>
                <c:pt idx="124">
                  <c:v>144.46468097955534</c:v>
                </c:pt>
                <c:pt idx="125">
                  <c:v>144.28633040021779</c:v>
                </c:pt>
                <c:pt idx="126">
                  <c:v>144.10819546049683</c:v>
                </c:pt>
                <c:pt idx="127">
                  <c:v>143.93027559925699</c:v>
                </c:pt>
                <c:pt idx="128">
                  <c:v>143.75257025727024</c:v>
                </c:pt>
                <c:pt idx="129">
                  <c:v>143.57507887720783</c:v>
                </c:pt>
                <c:pt idx="130">
                  <c:v>143.39780090363229</c:v>
                </c:pt>
                <c:pt idx="131">
                  <c:v>143.22073578298958</c:v>
                </c:pt>
                <c:pt idx="132">
                  <c:v>143.04388296360102</c:v>
                </c:pt>
                <c:pt idx="133">
                  <c:v>142.8672418956555</c:v>
                </c:pt>
                <c:pt idx="134">
                  <c:v>142.69081203120155</c:v>
                </c:pt>
                <c:pt idx="135">
                  <c:v>142.5145928241397</c:v>
                </c:pt>
                <c:pt idx="136">
                  <c:v>142.33858373021454</c:v>
                </c:pt>
                <c:pt idx="137">
                  <c:v>142.16278420700709</c:v>
                </c:pt>
                <c:pt idx="138">
                  <c:v>141.98719371392716</c:v>
                </c:pt>
                <c:pt idx="139">
                  <c:v>141.81181171220553</c:v>
                </c:pt>
                <c:pt idx="140">
                  <c:v>141.63663766488662</c:v>
                </c:pt>
                <c:pt idx="141">
                  <c:v>141.46167103682077</c:v>
                </c:pt>
                <c:pt idx="142">
                  <c:v>141.28691129465665</c:v>
                </c:pt>
                <c:pt idx="143">
                  <c:v>141.11235790683398</c:v>
                </c:pt>
                <c:pt idx="144">
                  <c:v>140.93801034357585</c:v>
                </c:pt>
                <c:pt idx="145">
                  <c:v>140.76386807688158</c:v>
                </c:pt>
                <c:pt idx="146">
                  <c:v>140.58993058051905</c:v>
                </c:pt>
                <c:pt idx="147">
                  <c:v>140.41619733001767</c:v>
                </c:pt>
                <c:pt idx="148">
                  <c:v>140.24266780266095</c:v>
                </c:pt>
                <c:pt idx="149">
                  <c:v>140.0693414774791</c:v>
                </c:pt>
                <c:pt idx="150">
                  <c:v>139.89621783524214</c:v>
                </c:pt>
                <c:pt idx="151">
                  <c:v>139.72329635845242</c:v>
                </c:pt>
                <c:pt idx="152">
                  <c:v>139.55057653133773</c:v>
                </c:pt>
                <c:pt idx="153">
                  <c:v>139.37805783984393</c:v>
                </c:pt>
                <c:pt idx="154">
                  <c:v>139.20573977162815</c:v>
                </c:pt>
                <c:pt idx="155">
                  <c:v>139.03362181605155</c:v>
                </c:pt>
                <c:pt idx="156">
                  <c:v>138.86170346417239</c:v>
                </c:pt>
                <c:pt idx="157">
                  <c:v>138.68998420873919</c:v>
                </c:pt>
                <c:pt idx="158">
                  <c:v>138.51846354418356</c:v>
                </c:pt>
                <c:pt idx="159">
                  <c:v>138.34714096661361</c:v>
                </c:pt>
                <c:pt idx="160">
                  <c:v>138.17601597380681</c:v>
                </c:pt>
                <c:pt idx="161">
                  <c:v>138.00508806520338</c:v>
                </c:pt>
                <c:pt idx="162">
                  <c:v>137.83435674189943</c:v>
                </c:pt>
                <c:pt idx="163">
                  <c:v>137.66382150664012</c:v>
                </c:pt>
                <c:pt idx="164">
                  <c:v>137.49348186381314</c:v>
                </c:pt>
                <c:pt idx="165">
                  <c:v>137.32333731944192</c:v>
                </c:pt>
                <c:pt idx="166">
                  <c:v>137.15338738117893</c:v>
                </c:pt>
                <c:pt idx="167">
                  <c:v>136.98363155829924</c:v>
                </c:pt>
                <c:pt idx="168">
                  <c:v>136.8140693616937</c:v>
                </c:pt>
                <c:pt idx="169">
                  <c:v>136.64470030386258</c:v>
                </c:pt>
                <c:pt idx="170">
                  <c:v>136.4755238989091</c:v>
                </c:pt>
                <c:pt idx="171">
                  <c:v>136.30653966253274</c:v>
                </c:pt>
                <c:pt idx="172">
                  <c:v>136.13774711202299</c:v>
                </c:pt>
                <c:pt idx="173">
                  <c:v>135.96914576625289</c:v>
                </c:pt>
                <c:pt idx="174">
                  <c:v>135.80073514567249</c:v>
                </c:pt>
                <c:pt idx="175">
                  <c:v>135.63251477230281</c:v>
                </c:pt>
                <c:pt idx="176">
                  <c:v>135.46448416972927</c:v>
                </c:pt>
                <c:pt idx="177">
                  <c:v>135.29664286309549</c:v>
                </c:pt>
                <c:pt idx="178">
                  <c:v>135.12899037909705</c:v>
                </c:pt>
                <c:pt idx="179">
                  <c:v>134.96152624597528</c:v>
                </c:pt>
                <c:pt idx="180">
                  <c:v>134.79424999351107</c:v>
                </c:pt>
                <c:pt idx="181">
                  <c:v>134.62716115301868</c:v>
                </c:pt>
                <c:pt idx="182">
                  <c:v>134.4602592573396</c:v>
                </c:pt>
                <c:pt idx="183">
                  <c:v>134.29354384083658</c:v>
                </c:pt>
                <c:pt idx="184">
                  <c:v>134.12701443938744</c:v>
                </c:pt>
                <c:pt idx="185">
                  <c:v>133.96067059037898</c:v>
                </c:pt>
                <c:pt idx="186">
                  <c:v>133.79451183270129</c:v>
                </c:pt>
                <c:pt idx="187">
                  <c:v>133.62853770674133</c:v>
                </c:pt>
                <c:pt idx="188">
                  <c:v>133.4627477543774</c:v>
                </c:pt>
                <c:pt idx="189">
                  <c:v>133.29714151897298</c:v>
                </c:pt>
                <c:pt idx="190">
                  <c:v>133.13171854537089</c:v>
                </c:pt>
                <c:pt idx="191">
                  <c:v>132.96647837988749</c:v>
                </c:pt>
                <c:pt idx="192">
                  <c:v>132.80142057030687</c:v>
                </c:pt>
                <c:pt idx="193">
                  <c:v>132.63654466587502</c:v>
                </c:pt>
                <c:pt idx="194">
                  <c:v>132.47185021729396</c:v>
                </c:pt>
                <c:pt idx="195">
                  <c:v>132.30733677671631</c:v>
                </c:pt>
                <c:pt idx="196">
                  <c:v>132.14300389773916</c:v>
                </c:pt>
                <c:pt idx="197">
                  <c:v>131.97885113539883</c:v>
                </c:pt>
                <c:pt idx="198">
                  <c:v>131.81487804616484</c:v>
                </c:pt>
                <c:pt idx="199">
                  <c:v>131.65108418793457</c:v>
                </c:pt>
                <c:pt idx="200">
                  <c:v>131.4874691200275</c:v>
                </c:pt>
                <c:pt idx="201">
                  <c:v>129.85321959732701</c:v>
                </c:pt>
                <c:pt idx="202">
                  <c:v>128.23664938437469</c:v>
                </c:pt>
                <c:pt idx="203">
                  <c:v>126.63732961514697</c:v>
                </c:pt>
                <c:pt idx="204">
                  <c:v>125.05484498649257</c:v>
                </c:pt>
                <c:pt idx="205">
                  <c:v>123.48879324450571</c:v>
                </c:pt>
                <c:pt idx="206">
                  <c:v>121.93878469611229</c:v>
                </c:pt>
                <c:pt idx="207">
                  <c:v>120.40444174456951</c:v>
                </c:pt>
                <c:pt idx="208">
                  <c:v>118.88539844766507</c:v>
                </c:pt>
                <c:pt idx="209">
                  <c:v>117.38130009748299</c:v>
                </c:pt>
                <c:pt idx="210">
                  <c:v>115.89180282067819</c:v>
                </c:pt>
                <c:pt idx="211">
                  <c:v>114.41657319827318</c:v>
                </c:pt>
                <c:pt idx="212">
                  <c:v>112.95528790405665</c:v>
                </c:pt>
                <c:pt idx="213">
                  <c:v>111.50763336072663</c:v>
                </c:pt>
                <c:pt idx="214">
                  <c:v>110.07330541297986</c:v>
                </c:pt>
                <c:pt idx="215">
                  <c:v>108.65200901680552</c:v>
                </c:pt>
                <c:pt idx="216">
                  <c:v>107.24345794429391</c:v>
                </c:pt>
                <c:pt idx="217">
                  <c:v>105.84737450332192</c:v>
                </c:pt>
                <c:pt idx="218">
                  <c:v>104.46348927152469</c:v>
                </c:pt>
                <c:pt idx="219">
                  <c:v>103.09154084400947</c:v>
                </c:pt>
                <c:pt idx="220">
                  <c:v>101.73127559431133</c:v>
                </c:pt>
                <c:pt idx="221">
                  <c:v>100.38244744813359</c:v>
                </c:pt>
                <c:pt idx="222">
                  <c:v>99.044817669456933</c:v>
                </c:pt>
                <c:pt idx="223">
                  <c:v>97.71815465864087</c:v>
                </c:pt>
                <c:pt idx="224">
                  <c:v>96.402233762181396</c:v>
                </c:pt>
                <c:pt idx="225">
                  <c:v>95.09683709382594</c:v>
                </c:pt>
                <c:pt idx="226">
                  <c:v>93.801753366786002</c:v>
                </c:pt>
                <c:pt idx="227">
                  <c:v>92.516777736824665</c:v>
                </c:pt>
                <c:pt idx="228">
                  <c:v>91.241711656034724</c:v>
                </c:pt>
                <c:pt idx="229">
                  <c:v>89.976362737160372</c:v>
                </c:pt>
                <c:pt idx="230">
                  <c:v>88.720544628354745</c:v>
                </c:pt>
                <c:pt idx="231">
                  <c:v>87.474076898304176</c:v>
                </c:pt>
                <c:pt idx="232">
                  <c:v>86.236784931690266</c:v>
                </c:pt>
                <c:pt idx="233">
                  <c:v>85.008499835002709</c:v>
                </c:pt>
                <c:pt idx="234">
                  <c:v>83.789058352758801</c:v>
                </c:pt>
                <c:pt idx="235">
                  <c:v>82.57830279423014</c:v>
                </c:pt>
                <c:pt idx="236">
                  <c:v>81.376080970825114</c:v>
                </c:pt>
                <c:pt idx="237">
                  <c:v>80.182246144325333</c:v>
                </c:pt>
                <c:pt idx="238">
                  <c:v>78.996656986227478</c:v>
                </c:pt>
                <c:pt idx="239">
                  <c:v>77.819177548498942</c:v>
                </c:pt>
                <c:pt idx="240">
                  <c:v>76.649677246116454</c:v>
                </c:pt>
                <c:pt idx="241">
                  <c:v>75.48803085182287</c:v>
                </c:pt>
                <c:pt idx="242">
                  <c:v>74.334118503607854</c:v>
                </c:pt>
                <c:pt idx="243">
                  <c:v>73.187825725495898</c:v>
                </c:pt>
                <c:pt idx="244">
                  <c:v>72.049043462308859</c:v>
                </c:pt>
                <c:pt idx="245">
                  <c:v>70.917668129161839</c:v>
                </c:pt>
                <c:pt idx="246">
                  <c:v>69.793601676552242</c:v>
                </c:pt>
                <c:pt idx="247">
                  <c:v>68.676751672011719</c:v>
                </c:pt>
                <c:pt idx="248">
                  <c:v>67.567031399412585</c:v>
                </c:pt>
                <c:pt idx="249">
                  <c:v>66.464359977154047</c:v>
                </c:pt>
                <c:pt idx="250">
                  <c:v>65.368662496601402</c:v>
                </c:pt>
                <c:pt idx="251">
                  <c:v>64.279870182315307</c:v>
                </c:pt>
                <c:pt idx="252">
                  <c:v>63.197920575788892</c:v>
                </c:pt>
                <c:pt idx="253">
                  <c:v>62.122757744611967</c:v>
                </c:pt>
                <c:pt idx="254">
                  <c:v>61.054332519204166</c:v>
                </c:pt>
                <c:pt idx="255">
                  <c:v>59.99260275950666</c:v>
                </c:pt>
                <c:pt idx="256">
                  <c:v>58.93753365429761</c:v>
                </c:pt>
                <c:pt idx="257">
                  <c:v>57.889098056102306</c:v>
                </c:pt>
                <c:pt idx="258">
                  <c:v>56.84727685500966</c:v>
                </c:pt>
                <c:pt idx="259">
                  <c:v>55.812059395085328</c:v>
                </c:pt>
                <c:pt idx="260">
                  <c:v>54.783443937492876</c:v>
                </c:pt>
                <c:pt idx="261">
                  <c:v>53.76143817490226</c:v>
                </c:pt>
                <c:pt idx="262">
                  <c:v>52.746059802284861</c:v>
                </c:pt>
                <c:pt idx="263">
                  <c:v>51.737337149770802</c:v>
                </c:pt>
                <c:pt idx="264">
                  <c:v>50.735309883882849</c:v>
                </c:pt>
                <c:pt idx="265">
                  <c:v>49.740029784167291</c:v>
                </c:pt>
                <c:pt idx="266">
                  <c:v>48.75156160302032</c:v>
                </c:pt>
                <c:pt idx="267">
                  <c:v>47.769984017363946</c:v>
                </c:pt>
                <c:pt idx="268">
                  <c:v>46.79539068176085</c:v>
                </c:pt>
                <c:pt idx="269">
                  <c:v>45.827891393576635</c:v>
                </c:pt>
                <c:pt idx="270">
                  <c:v>44.867613381898636</c:v>
                </c:pt>
                <c:pt idx="271">
                  <c:v>43.914702733100292</c:v>
                </c:pt>
                <c:pt idx="272">
                  <c:v>42.969325967190322</c:v>
                </c:pt>
                <c:pt idx="273">
                  <c:v>42.031671780390326</c:v>
                </c:pt>
                <c:pt idx="274">
                  <c:v>41.101952970718379</c:v>
                </c:pt>
                <c:pt idx="275">
                  <c:v>40.180408564680526</c:v>
                </c:pt>
                <c:pt idx="276">
                  <c:v>39.267306164431318</c:v>
                </c:pt>
                <c:pt idx="277">
                  <c:v>38.362944535877467</c:v>
                </c:pt>
                <c:pt idx="278">
                  <c:v>37.467656459055384</c:v>
                </c:pt>
                <c:pt idx="279">
                  <c:v>36.581811862559483</c:v>
                </c:pt>
                <c:pt idx="280">
                  <c:v>35.705821263629559</c:v>
                </c:pt>
                <c:pt idx="281">
                  <c:v>34.840139534447133</c:v>
                </c:pt>
                <c:pt idx="282">
                  <c:v>33.985270012882509</c:v>
                </c:pt>
                <c:pt idx="283">
                  <c:v>33.141768971909251</c:v>
                </c:pt>
                <c:pt idx="284">
                  <c:v>32.310250455560471</c:v>
                </c:pt>
                <c:pt idx="285">
                  <c:v>31.491391479887191</c:v>
                </c:pt>
                <c:pt idx="286">
                  <c:v>30.685937583953827</c:v>
                </c:pt>
                <c:pt idx="287">
                  <c:v>29.894708697331357</c:v>
                </c:pt>
                <c:pt idx="288">
                  <c:v>29.118605265477612</c:v>
                </c:pt>
                <c:pt idx="289">
                  <c:v>28.358614541288105</c:v>
                </c:pt>
                <c:pt idx="290">
                  <c:v>27.615816908291169</c:v>
                </c:pt>
                <c:pt idx="291">
                  <c:v>26.891392046770754</c:v>
                </c:pt>
                <c:pt idx="292">
                  <c:v>26.186624687069806</c:v>
                </c:pt>
                <c:pt idx="293">
                  <c:v>25.502909613573863</c:v>
                </c:pt>
                <c:pt idx="294">
                  <c:v>24.841755488636672</c:v>
                </c:pt>
                <c:pt idx="295">
                  <c:v>24.204786960102847</c:v>
                </c:pt>
                <c:pt idx="296">
                  <c:v>23.593744404088479</c:v>
                </c:pt>
                <c:pt idx="297">
                  <c:v>23.010480545311086</c:v>
                </c:pt>
                <c:pt idx="298">
                  <c:v>22.456953104753453</c:v>
                </c:pt>
                <c:pt idx="299">
                  <c:v>21.935212569184525</c:v>
                </c:pt>
                <c:pt idx="300">
                  <c:v>21.447384185701335</c:v>
                </c:pt>
                <c:pt idx="301">
                  <c:v>20.995643388557749</c:v>
                </c:pt>
                <c:pt idx="302">
                  <c:v>20.582184097867785</c:v>
                </c:pt>
                <c:pt idx="303">
                  <c:v>20.209179717566471</c:v>
                </c:pt>
                <c:pt idx="304">
                  <c:v>19.878737215255832</c:v>
                </c:pt>
                <c:pt idx="305">
                  <c:v>19.592845374258211</c:v>
                </c:pt>
                <c:pt idx="306">
                  <c:v>19.353319115623908</c:v>
                </c:pt>
                <c:pt idx="307">
                  <c:v>19.161742599334112</c:v>
                </c:pt>
                <c:pt idx="308">
                  <c:v>19.019414496482671</c:v>
                </c:pt>
                <c:pt idx="309">
                  <c:v>18.927299227531961</c:v>
                </c:pt>
                <c:pt idx="310">
                  <c:v>18.885987952144752</c:v>
                </c:pt>
                <c:pt idx="311">
                  <c:v>18.895672596849312</c:v>
                </c:pt>
                <c:pt idx="312">
                  <c:v>18.956135231676857</c:v>
                </c:pt>
                <c:pt idx="313">
                  <c:v>19.066753772523303</c:v>
                </c:pt>
                <c:pt idx="314">
                  <c:v>19.226523493784345</c:v>
                </c:pt>
                <c:pt idx="315">
                  <c:v>19.434092426234361</c:v>
                </c:pt>
                <c:pt idx="316">
                  <c:v>19.687807608242469</c:v>
                </c:pt>
                <c:pt idx="317">
                  <c:v>19.985768501657674</c:v>
                </c:pt>
                <c:pt idx="318">
                  <c:v>20.325883723875954</c:v>
                </c:pt>
                <c:pt idx="319">
                  <c:v>20.705927533979867</c:v>
                </c:pt>
                <c:pt idx="320">
                  <c:v>21.123593123329538</c:v>
                </c:pt>
                <c:pt idx="321">
                  <c:v>21.57654055002212</c:v>
                </c:pt>
                <c:pt idx="322">
                  <c:v>22.062437980365395</c:v>
                </c:pt>
                <c:pt idx="323">
                  <c:v>22.57899564975952</c:v>
                </c:pt>
                <c:pt idx="324">
                  <c:v>23.123992563701215</c:v>
                </c:pt>
                <c:pt idx="325">
                  <c:v>23.695296400978911</c:v>
                </c:pt>
                <c:pt idx="326">
                  <c:v>24.2908773603002</c:v>
                </c:pt>
                <c:pt idx="327">
                  <c:v>24.908816832343891</c:v>
                </c:pt>
                <c:pt idx="328">
                  <c:v>25.547311813648808</c:v>
                </c:pt>
                <c:pt idx="329">
                  <c:v>26.204675939500699</c:v>
                </c:pt>
                <c:pt idx="330">
                  <c:v>26.87933792866292</c:v>
                </c:pt>
                <c:pt idx="331">
                  <c:v>27.569838125932712</c:v>
                </c:pt>
                <c:pt idx="332">
                  <c:v>28.274823715266255</c:v>
                </c:pt>
                <c:pt idx="333">
                  <c:v>28.993043067170905</c:v>
                </c:pt>
                <c:pt idx="334">
                  <c:v>29.723339585339055</c:v>
                </c:pt>
                <c:pt idx="335">
                  <c:v>30.464645331986926</c:v>
                </c:pt>
                <c:pt idx="336">
                  <c:v>31.215974639779347</c:v>
                </c:pt>
                <c:pt idx="337">
                  <c:v>31.976417859946952</c:v>
                </c:pt>
                <c:pt idx="338">
                  <c:v>32.745135349887427</c:v>
                </c:pt>
                <c:pt idx="339">
                  <c:v>33.521351767527641</c:v>
                </c:pt>
                <c:pt idx="340">
                  <c:v>34.304350712302472</c:v>
                </c:pt>
                <c:pt idx="341">
                  <c:v>35.093469732175585</c:v>
                </c:pt>
                <c:pt idx="342">
                  <c:v>35.888095701266124</c:v>
                </c:pt>
                <c:pt idx="343">
                  <c:v>36.687660562139982</c:v>
                </c:pt>
                <c:pt idx="344">
                  <c:v>37.4916374196699</c:v>
                </c:pt>
                <c:pt idx="345">
                  <c:v>38.299536968749862</c:v>
                </c:pt>
                <c:pt idx="346">
                  <c:v>39.110904235418481</c:v>
                </c:pt>
                <c:pt idx="347">
                  <c:v>39.925315609594385</c:v>
                </c:pt>
                <c:pt idx="348">
                  <c:v>40.74237614726264</c:v>
                </c:pt>
                <c:pt idx="349">
                  <c:v>41.561717120274828</c:v>
                </c:pt>
                <c:pt idx="350">
                  <c:v>42.382993792711524</c:v>
                </c:pt>
                <c:pt idx="351">
                  <c:v>43.2058834038369</c:v>
                </c:pt>
                <c:pt idx="352">
                  <c:v>44.030083338928016</c:v>
                </c:pt>
                <c:pt idx="353">
                  <c:v>44.855309470597767</c:v>
                </c:pt>
                <c:pt idx="354">
                  <c:v>45.681294654587646</c:v>
                </c:pt>
                <c:pt idx="355">
                  <c:v>46.507787365341137</c:v>
                </c:pt>
                <c:pt idx="356">
                  <c:v>47.334550457952901</c:v>
                </c:pt>
                <c:pt idx="357">
                  <c:v>48.161360044303777</c:v>
                </c:pt>
                <c:pt idx="358">
                  <c:v>48.9880044723281</c:v>
                </c:pt>
                <c:pt idx="359">
                  <c:v>49.814283398411732</c:v>
                </c:pt>
                <c:pt idx="360">
                  <c:v>50.64000694388735</c:v>
                </c:pt>
                <c:pt idx="361">
                  <c:v>51.464994927477768</c:v>
                </c:pt>
                <c:pt idx="362">
                  <c:v>52.289076166343676</c:v>
                </c:pt>
                <c:pt idx="363">
                  <c:v>53.11208783912204</c:v>
                </c:pt>
                <c:pt idx="364">
                  <c:v>53.93387490500205</c:v>
                </c:pt>
                <c:pt idx="365">
                  <c:v>54.754289573480975</c:v>
                </c:pt>
                <c:pt idx="366">
                  <c:v>55.573190819979096</c:v>
                </c:pt>
                <c:pt idx="367">
                  <c:v>56.390443942975395</c:v>
                </c:pt>
                <c:pt idx="368">
                  <c:v>57.205920158759213</c:v>
                </c:pt>
                <c:pt idx="369">
                  <c:v>58.019496230282613</c:v>
                </c:pt>
                <c:pt idx="370">
                  <c:v>58.831054126947244</c:v>
                </c:pt>
                <c:pt idx="371">
                  <c:v>59.640480712473092</c:v>
                </c:pt>
                <c:pt idx="372">
                  <c:v>60.447667458277515</c:v>
                </c:pt>
                <c:pt idx="373">
                  <c:v>61.252510180044915</c:v>
                </c:pt>
                <c:pt idx="374">
                  <c:v>62.054908795393764</c:v>
                </c:pt>
                <c:pt idx="375">
                  <c:v>62.854767100750465</c:v>
                </c:pt>
                <c:pt idx="376">
                  <c:v>63.6519925657215</c:v>
                </c:pt>
                <c:pt idx="377">
                  <c:v>64.446496143419068</c:v>
                </c:pt>
                <c:pt idx="378">
                  <c:v>65.238192095341986</c:v>
                </c:pt>
                <c:pt idx="379">
                  <c:v>66.026997829545749</c:v>
                </c:pt>
                <c:pt idx="380">
                  <c:v>66.812833750954411</c:v>
                </c:pt>
                <c:pt idx="381">
                  <c:v>67.595623122773247</c:v>
                </c:pt>
                <c:pt idx="382">
                  <c:v>68.375291938057941</c:v>
                </c:pt>
                <c:pt idx="383">
                  <c:v>69.15176880058219</c:v>
                </c:pt>
                <c:pt idx="384">
                  <c:v>69.924984814223563</c:v>
                </c:pt>
                <c:pt idx="385">
                  <c:v>70.694873480158435</c:v>
                </c:pt>
                <c:pt idx="386">
                  <c:v>71.461370601219841</c:v>
                </c:pt>
                <c:pt idx="387">
                  <c:v>72.224414192829741</c:v>
                </c:pt>
                <c:pt idx="388">
                  <c:v>72.983944399969275</c:v>
                </c:pt>
                <c:pt idx="389">
                  <c:v>73.739903419697214</c:v>
                </c:pt>
                <c:pt idx="390">
                  <c:v>74.492235428769746</c:v>
                </c:pt>
                <c:pt idx="391">
                  <c:v>75.240886515953079</c:v>
                </c:pt>
                <c:pt idx="392">
                  <c:v>75.985804618655294</c:v>
                </c:pt>
                <c:pt idx="393">
                  <c:v>76.726939463535871</c:v>
                </c:pt>
                <c:pt idx="394">
                  <c:v>77.464242510779656</c:v>
                </c:pt>
                <c:pt idx="395">
                  <c:v>78.197666901748903</c:v>
                </c:pt>
                <c:pt idx="396">
                  <c:v>78.927167409750226</c:v>
                </c:pt>
                <c:pt idx="397">
                  <c:v>79.652700393675559</c:v>
                </c:pt>
                <c:pt idx="398">
                  <c:v>80.374223754295443</c:v>
                </c:pt>
                <c:pt idx="399">
                  <c:v>81.091696893001526</c:v>
                </c:pt>
                <c:pt idx="400">
                  <c:v>81.805080672811357</c:v>
                </c:pt>
                <c:pt idx="401">
                  <c:v>82.514337381463463</c:v>
                </c:pt>
                <c:pt idx="402">
                  <c:v>83.219430696444732</c:v>
                </c:pt>
                <c:pt idx="403">
                  <c:v>83.920325651804461</c:v>
                </c:pt>
                <c:pt idx="404">
                  <c:v>84.616988606621149</c:v>
                </c:pt>
                <c:pt idx="405">
                  <c:v>85.309387214998182</c:v>
                </c:pt>
                <c:pt idx="406">
                  <c:v>85.99749039747492</c:v>
                </c:pt>
                <c:pt idx="407">
                  <c:v>86.681268313747807</c:v>
                </c:pt>
                <c:pt idx="408">
                  <c:v>87.360692336604984</c:v>
                </c:pt>
                <c:pt idx="409">
                  <c:v>88.035735026984511</c:v>
                </c:pt>
                <c:pt idx="410">
                  <c:v>88.706370110073962</c:v>
                </c:pt>
                <c:pt idx="411">
                  <c:v>89.37257245237511</c:v>
                </c:pt>
                <c:pt idx="412">
                  <c:v>90.034318039662921</c:v>
                </c:pt>
                <c:pt idx="413">
                  <c:v>90.691583955774149</c:v>
                </c:pt>
                <c:pt idx="414">
                  <c:v>91.344348362165121</c:v>
                </c:pt>
                <c:pt idx="415">
                  <c:v>91.992590478183004</c:v>
                </c:pt>
                <c:pt idx="416">
                  <c:v>92.636290561999246</c:v>
                </c:pt>
                <c:pt idx="417">
                  <c:v>93.27542989215749</c:v>
                </c:pt>
                <c:pt idx="418">
                  <c:v>93.90999074969217</c:v>
                </c:pt>
                <c:pt idx="419">
                  <c:v>94.539956400776504</c:v>
                </c:pt>
                <c:pt idx="420">
                  <c:v>95.165311079863073</c:v>
                </c:pt>
                <c:pt idx="421">
                  <c:v>95.786039973281305</c:v>
                </c:pt>
                <c:pt idx="422">
                  <c:v>96.402129203260245</c:v>
                </c:pt>
                <c:pt idx="423">
                  <c:v>97.013565812346343</c:v>
                </c:pt>
                <c:pt idx="424">
                  <c:v>97.620337748189201</c:v>
                </c:pt>
                <c:pt idx="425">
                  <c:v>98.222433848669255</c:v>
                </c:pt>
                <c:pt idx="426">
                  <c:v>98.819843827344286</c:v>
                </c:pt>
                <c:pt idx="427">
                  <c:v>99.412558259192622</c:v>
                </c:pt>
                <c:pt idx="428">
                  <c:v>100.00056856663321</c:v>
                </c:pt>
                <c:pt idx="429">
                  <c:v>100.58386700580387</c:v>
                </c:pt>
                <c:pt idx="430">
                  <c:v>101.16244665308039</c:v>
                </c:pt>
                <c:pt idx="431">
                  <c:v>101.73630139182112</c:v>
                </c:pt>
                <c:pt idx="432">
                  <c:v>102.30542589932193</c:v>
                </c:pt>
                <c:pt idx="433">
                  <c:v>102.8698156339685</c:v>
                </c:pt>
                <c:pt idx="434">
                  <c:v>103.42946682257339</c:v>
                </c:pt>
                <c:pt idx="435">
                  <c:v>103.98437644788649</c:v>
                </c:pt>
                <c:pt idx="436">
                  <c:v>104.53454223626858</c:v>
                </c:pt>
                <c:pt idx="437">
                  <c:v>105.07996264551804</c:v>
                </c:pt>
                <c:pt idx="438">
                  <c:v>105.6206368528424</c:v>
                </c:pt>
                <c:pt idx="439">
                  <c:v>106.15656474296605</c:v>
                </c:pt>
                <c:pt idx="440">
                  <c:v>106.68774689636736</c:v>
                </c:pt>
                <c:pt idx="441">
                  <c:v>107.21418457763799</c:v>
                </c:pt>
                <c:pt idx="442">
                  <c:v>107.73587972395855</c:v>
                </c:pt>
                <c:pt idx="443">
                  <c:v>108.25283493368472</c:v>
                </c:pt>
                <c:pt idx="444">
                  <c:v>108.76505345503925</c:v>
                </c:pt>
                <c:pt idx="445">
                  <c:v>109.27253917490454</c:v>
                </c:pt>
                <c:pt idx="446">
                  <c:v>109.77529660771238</c:v>
                </c:pt>
                <c:pt idx="447">
                  <c:v>110.27333088442666</c:v>
                </c:pt>
                <c:pt idx="448">
                  <c:v>110.76664774161573</c:v>
                </c:pt>
                <c:pt idx="449">
                  <c:v>111.25525351061161</c:v>
                </c:pt>
                <c:pt idx="450">
                  <c:v>111.73915510675329</c:v>
                </c:pt>
                <c:pt idx="451">
                  <c:v>112.21836001871155</c:v>
                </c:pt>
                <c:pt idx="452">
                  <c:v>112.69287629789372</c:v>
                </c:pt>
                <c:pt idx="453">
                  <c:v>113.16271254792603</c:v>
                </c:pt>
                <c:pt idx="454">
                  <c:v>113.62787791421221</c:v>
                </c:pt>
                <c:pt idx="455">
                  <c:v>114.08838207356709</c:v>
                </c:pt>
                <c:pt idx="456">
                  <c:v>114.54423522392399</c:v>
                </c:pt>
                <c:pt idx="457">
                  <c:v>114.99544807411482</c:v>
                </c:pt>
                <c:pt idx="458">
                  <c:v>115.44203183372224</c:v>
                </c:pt>
                <c:pt idx="459">
                  <c:v>115.8839982030033</c:v>
                </c:pt>
                <c:pt idx="460">
                  <c:v>116.32135936288402</c:v>
                </c:pt>
                <c:pt idx="461">
                  <c:v>116.75412796502462</c:v>
                </c:pt>
                <c:pt idx="462">
                  <c:v>117.18231712195518</c:v>
                </c:pt>
                <c:pt idx="463">
                  <c:v>117.60594039728157</c:v>
                </c:pt>
                <c:pt idx="464">
                  <c:v>118.02501179596197</c:v>
                </c:pt>
                <c:pt idx="465">
                  <c:v>118.43954575465357</c:v>
                </c:pt>
                <c:pt idx="466">
                  <c:v>118.84955713213007</c:v>
                </c:pt>
                <c:pt idx="467">
                  <c:v>119.25506119977015</c:v>
                </c:pt>
                <c:pt idx="468">
                  <c:v>119.65607363211713</c:v>
                </c:pt>
                <c:pt idx="469">
                  <c:v>120.05261049751017</c:v>
                </c:pt>
                <c:pt idx="470">
                  <c:v>120.44468824878791</c:v>
                </c:pt>
                <c:pt idx="471">
                  <c:v>120.83232371406426</c:v>
                </c:pt>
                <c:pt idx="472">
                  <c:v>121.21553408757762</c:v>
                </c:pt>
                <c:pt idx="473">
                  <c:v>121.5943369206138</c:v>
                </c:pt>
                <c:pt idx="474">
                  <c:v>121.968750112503</c:v>
                </c:pt>
                <c:pt idx="475">
                  <c:v>122.33879190169203</c:v>
                </c:pt>
                <c:pt idx="476">
                  <c:v>122.70448085689181</c:v>
                </c:pt>
                <c:pt idx="477">
                  <c:v>123.06583586830133</c:v>
                </c:pt>
                <c:pt idx="478">
                  <c:v>123.42287613890838</c:v>
                </c:pt>
                <c:pt idx="479">
                  <c:v>123.77562117586785</c:v>
                </c:pt>
                <c:pt idx="480">
                  <c:v>124.12409078195846</c:v>
                </c:pt>
                <c:pt idx="481">
                  <c:v>124.46830504711825</c:v>
                </c:pt>
                <c:pt idx="482">
                  <c:v>124.80828434005977</c:v>
                </c:pt>
                <c:pt idx="483">
                  <c:v>125.14404929996569</c:v>
                </c:pt>
                <c:pt idx="484">
                  <c:v>125.47562082826525</c:v>
                </c:pt>
                <c:pt idx="485">
                  <c:v>125.80302008049244</c:v>
                </c:pt>
                <c:pt idx="486">
                  <c:v>126.12626845822645</c:v>
                </c:pt>
                <c:pt idx="487">
                  <c:v>126.44538760111507</c:v>
                </c:pt>
                <c:pt idx="488">
                  <c:v>126.7603993789817</c:v>
                </c:pt>
                <c:pt idx="489">
                  <c:v>127.07132588401626</c:v>
                </c:pt>
                <c:pt idx="490">
                  <c:v>127.37818942305125</c:v>
                </c:pt>
                <c:pt idx="491">
                  <c:v>127.68101250992274</c:v>
                </c:pt>
                <c:pt idx="492">
                  <c:v>127.97981785791735</c:v>
                </c:pt>
                <c:pt idx="493">
                  <c:v>128.27462837230556</c:v>
                </c:pt>
                <c:pt idx="494">
                  <c:v>128.56546714296189</c:v>
                </c:pt>
                <c:pt idx="495">
                  <c:v>128.85235743707233</c:v>
                </c:pt>
                <c:pt idx="496">
                  <c:v>129.13532269192945</c:v>
                </c:pt>
                <c:pt idx="497">
                  <c:v>129.41438650781578</c:v>
                </c:pt>
                <c:pt idx="498">
                  <c:v>129.6895726409758</c:v>
                </c:pt>
                <c:pt idx="499">
                  <c:v>129.96090499667653</c:v>
                </c:pt>
                <c:pt idx="500">
                  <c:v>130.22840762235762</c:v>
                </c:pt>
                <c:pt idx="501">
                  <c:v>130.49210470087073</c:v>
                </c:pt>
                <c:pt idx="502">
                  <c:v>130.75202054380887</c:v>
                </c:pt>
                <c:pt idx="503">
                  <c:v>131.00817958492567</c:v>
                </c:pt>
                <c:pt idx="504">
                  <c:v>131.26060637364492</c:v>
                </c:pt>
                <c:pt idx="505">
                  <c:v>131.50932556866042</c:v>
                </c:pt>
                <c:pt idx="506">
                  <c:v>131.75436193162633</c:v>
                </c:pt>
                <c:pt idx="507">
                  <c:v>131.99574032093855</c:v>
                </c:pt>
                <c:pt idx="508">
                  <c:v>132.23348568560638</c:v>
                </c:pt>
                <c:pt idx="509">
                  <c:v>132.46762305921513</c:v>
                </c:pt>
                <c:pt idx="510">
                  <c:v>132.6981775539798</c:v>
                </c:pt>
                <c:pt idx="511">
                  <c:v>132.92517435488929</c:v>
                </c:pt>
                <c:pt idx="512">
                  <c:v>133.14863871394147</c:v>
                </c:pt>
                <c:pt idx="513">
                  <c:v>133.36859594446909</c:v>
                </c:pt>
                <c:pt idx="514">
                  <c:v>133.58507141555631</c:v>
                </c:pt>
                <c:pt idx="515">
                  <c:v>133.7980905465455</c:v>
                </c:pt>
                <c:pt idx="516">
                  <c:v>134.00767880163471</c:v>
                </c:pt>
                <c:pt idx="517">
                  <c:v>134.2138616845653</c:v>
                </c:pt>
                <c:pt idx="518">
                  <c:v>134.41666473339933</c:v>
                </c:pt>
                <c:pt idx="519">
                  <c:v>134.61611351538687</c:v>
                </c:pt>
                <c:pt idx="520">
                  <c:v>134.81223362192281</c:v>
                </c:pt>
                <c:pt idx="521">
                  <c:v>135.00505066359275</c:v>
                </c:pt>
                <c:pt idx="522">
                  <c:v>135.19459026530808</c:v>
                </c:pt>
                <c:pt idx="523">
                  <c:v>135.38087806152916</c:v>
                </c:pt>
                <c:pt idx="524">
                  <c:v>135.5639396915771</c:v>
                </c:pt>
                <c:pt idx="525">
                  <c:v>135.74380079503328</c:v>
                </c:pt>
                <c:pt idx="526">
                  <c:v>135.92048700722609</c:v>
                </c:pt>
                <c:pt idx="527">
                  <c:v>136.09402395480475</c:v>
                </c:pt>
                <c:pt idx="528">
                  <c:v>136.2644372513999</c:v>
                </c:pt>
                <c:pt idx="529">
                  <c:v>136.43175249336974</c:v>
                </c:pt>
                <c:pt idx="530">
                  <c:v>136.59599525563223</c:v>
                </c:pt>
                <c:pt idx="531">
                  <c:v>136.59615643696145</c:v>
                </c:pt>
                <c:pt idx="532">
                  <c:v>136.59631761527498</c:v>
                </c:pt>
                <c:pt idx="533">
                  <c:v>136.59647879057289</c:v>
                </c:pt>
                <c:pt idx="534">
                  <c:v>136.59663996285516</c:v>
                </c:pt>
                <c:pt idx="535">
                  <c:v>136.59680113212184</c:v>
                </c:pt>
                <c:pt idx="536">
                  <c:v>136.59696229837294</c:v>
                </c:pt>
                <c:pt idx="537">
                  <c:v>136.5971234616085</c:v>
                </c:pt>
                <c:pt idx="538">
                  <c:v>136.59728462182855</c:v>
                </c:pt>
                <c:pt idx="539">
                  <c:v>136.59744577903311</c:v>
                </c:pt>
                <c:pt idx="540">
                  <c:v>136.59760693322221</c:v>
                </c:pt>
                <c:pt idx="541">
                  <c:v>136.59776808439585</c:v>
                </c:pt>
                <c:pt idx="542">
                  <c:v>136.59792923255409</c:v>
                </c:pt>
                <c:pt idx="543">
                  <c:v>136.59809037769691</c:v>
                </c:pt>
                <c:pt idx="544">
                  <c:v>136.5982515198244</c:v>
                </c:pt>
                <c:pt idx="545">
                  <c:v>136.59841265893655</c:v>
                </c:pt>
                <c:pt idx="546">
                  <c:v>136.59857379503336</c:v>
                </c:pt>
                <c:pt idx="547">
                  <c:v>136.59873492811491</c:v>
                </c:pt>
                <c:pt idx="548">
                  <c:v>136.59889605818117</c:v>
                </c:pt>
                <c:pt idx="549">
                  <c:v>136.5990571852322</c:v>
                </c:pt>
                <c:pt idx="550">
                  <c:v>136.599218309268</c:v>
                </c:pt>
                <c:pt idx="551">
                  <c:v>136.59937943028859</c:v>
                </c:pt>
                <c:pt idx="552">
                  <c:v>136.59954054829404</c:v>
                </c:pt>
                <c:pt idx="553">
                  <c:v>136.59970166328435</c:v>
                </c:pt>
                <c:pt idx="554">
                  <c:v>136.59986277525954</c:v>
                </c:pt>
                <c:pt idx="555">
                  <c:v>136.60002388421964</c:v>
                </c:pt>
                <c:pt idx="556">
                  <c:v>136.60018499016468</c:v>
                </c:pt>
                <c:pt idx="557">
                  <c:v>136.60034609309469</c:v>
                </c:pt>
                <c:pt idx="558">
                  <c:v>136.60050719300969</c:v>
                </c:pt>
                <c:pt idx="559">
                  <c:v>136.60066828990969</c:v>
                </c:pt>
                <c:pt idx="560">
                  <c:v>136.60082938379472</c:v>
                </c:pt>
                <c:pt idx="561">
                  <c:v>136.60099047466483</c:v>
                </c:pt>
                <c:pt idx="562">
                  <c:v>136.60115156252002</c:v>
                </c:pt>
                <c:pt idx="563">
                  <c:v>136.60131264736032</c:v>
                </c:pt>
                <c:pt idx="564">
                  <c:v>136.60147372918573</c:v>
                </c:pt>
                <c:pt idx="565">
                  <c:v>136.60163480799633</c:v>
                </c:pt>
                <c:pt idx="566">
                  <c:v>136.60179588379214</c:v>
                </c:pt>
                <c:pt idx="567">
                  <c:v>136.60195695657313</c:v>
                </c:pt>
                <c:pt idx="568">
                  <c:v>136.60211802633935</c:v>
                </c:pt>
                <c:pt idx="569">
                  <c:v>136.60227909309086</c:v>
                </c:pt>
                <c:pt idx="570">
                  <c:v>136.60244015682767</c:v>
                </c:pt>
                <c:pt idx="571">
                  <c:v>136.60260121754976</c:v>
                </c:pt>
                <c:pt idx="572">
                  <c:v>136.60276227525722</c:v>
                </c:pt>
                <c:pt idx="573">
                  <c:v>136.60292332995004</c:v>
                </c:pt>
                <c:pt idx="574">
                  <c:v>136.60308438162824</c:v>
                </c:pt>
                <c:pt idx="575">
                  <c:v>136.60324543029185</c:v>
                </c:pt>
                <c:pt idx="576">
                  <c:v>136.60340647594091</c:v>
                </c:pt>
                <c:pt idx="577">
                  <c:v>136.60356751857543</c:v>
                </c:pt>
                <c:pt idx="578">
                  <c:v>136.60372855819548</c:v>
                </c:pt>
                <c:pt idx="579">
                  <c:v>136.60388959480102</c:v>
                </c:pt>
                <c:pt idx="580">
                  <c:v>136.60405062839212</c:v>
                </c:pt>
                <c:pt idx="581">
                  <c:v>136.60421165896875</c:v>
                </c:pt>
                <c:pt idx="582">
                  <c:v>136.60437268653104</c:v>
                </c:pt>
                <c:pt idx="583">
                  <c:v>136.60453371107886</c:v>
                </c:pt>
                <c:pt idx="584">
                  <c:v>136.60469473261236</c:v>
                </c:pt>
                <c:pt idx="585">
                  <c:v>136.60485575113154</c:v>
                </c:pt>
                <c:pt idx="586">
                  <c:v>136.6050167666364</c:v>
                </c:pt>
                <c:pt idx="587">
                  <c:v>136.60517777912699</c:v>
                </c:pt>
                <c:pt idx="588">
                  <c:v>136.60533878860332</c:v>
                </c:pt>
                <c:pt idx="589">
                  <c:v>136.60549979506541</c:v>
                </c:pt>
                <c:pt idx="590">
                  <c:v>136.6056607985133</c:v>
                </c:pt>
                <c:pt idx="591">
                  <c:v>136.60582179894701</c:v>
                </c:pt>
                <c:pt idx="592">
                  <c:v>136.60598279636653</c:v>
                </c:pt>
                <c:pt idx="593">
                  <c:v>136.60614379077194</c:v>
                </c:pt>
                <c:pt idx="594">
                  <c:v>136.60630478216325</c:v>
                </c:pt>
                <c:pt idx="595">
                  <c:v>136.60646577054052</c:v>
                </c:pt>
                <c:pt idx="596">
                  <c:v>136.6066267559037</c:v>
                </c:pt>
                <c:pt idx="597">
                  <c:v>136.60678773825285</c:v>
                </c:pt>
                <c:pt idx="598">
                  <c:v>136.60694871758801</c:v>
                </c:pt>
                <c:pt idx="599">
                  <c:v>136.60710969390919</c:v>
                </c:pt>
                <c:pt idx="600">
                  <c:v>136.60727066721643</c:v>
                </c:pt>
                <c:pt idx="601">
                  <c:v>136.60743163750971</c:v>
                </c:pt>
                <c:pt idx="602">
                  <c:v>136.60759260478909</c:v>
                </c:pt>
                <c:pt idx="603">
                  <c:v>136.60775356905461</c:v>
                </c:pt>
                <c:pt idx="604">
                  <c:v>136.60791453030629</c:v>
                </c:pt>
                <c:pt idx="605">
                  <c:v>136.60807548854413</c:v>
                </c:pt>
                <c:pt idx="606">
                  <c:v>136.60823644376816</c:v>
                </c:pt>
                <c:pt idx="607">
                  <c:v>136.60839739597841</c:v>
                </c:pt>
                <c:pt idx="608">
                  <c:v>136.60855834517491</c:v>
                </c:pt>
                <c:pt idx="609">
                  <c:v>136.60871929135772</c:v>
                </c:pt>
                <c:pt idx="610">
                  <c:v>136.60888023452679</c:v>
                </c:pt>
                <c:pt idx="611">
                  <c:v>136.60904117468223</c:v>
                </c:pt>
                <c:pt idx="612">
                  <c:v>136.60920211182398</c:v>
                </c:pt>
                <c:pt idx="613">
                  <c:v>136.60936304595214</c:v>
                </c:pt>
                <c:pt idx="614">
                  <c:v>136.60952397706666</c:v>
                </c:pt>
                <c:pt idx="615">
                  <c:v>136.60968490516763</c:v>
                </c:pt>
                <c:pt idx="616">
                  <c:v>136.60984583025504</c:v>
                </c:pt>
                <c:pt idx="617">
                  <c:v>136.61000675232893</c:v>
                </c:pt>
                <c:pt idx="618">
                  <c:v>136.61016767138932</c:v>
                </c:pt>
                <c:pt idx="619">
                  <c:v>136.61032858743624</c:v>
                </c:pt>
                <c:pt idx="620">
                  <c:v>136.6104895004697</c:v>
                </c:pt>
                <c:pt idx="621">
                  <c:v>136.61065041048974</c:v>
                </c:pt>
                <c:pt idx="622">
                  <c:v>136.6108113174964</c:v>
                </c:pt>
                <c:pt idx="623">
                  <c:v>136.61097222148965</c:v>
                </c:pt>
                <c:pt idx="624">
                  <c:v>136.61113312246957</c:v>
                </c:pt>
                <c:pt idx="625">
                  <c:v>136.61129402043616</c:v>
                </c:pt>
                <c:pt idx="626">
                  <c:v>136.61145491538946</c:v>
                </c:pt>
                <c:pt idx="627">
                  <c:v>136.61161580732951</c:v>
                </c:pt>
                <c:pt idx="628">
                  <c:v>136.6117766962563</c:v>
                </c:pt>
                <c:pt idx="629">
                  <c:v>136.61193758216984</c:v>
                </c:pt>
                <c:pt idx="630">
                  <c:v>136.61209846507023</c:v>
                </c:pt>
                <c:pt idx="631">
                  <c:v>136.61225934495741</c:v>
                </c:pt>
                <c:pt idx="632">
                  <c:v>136.61242022183148</c:v>
                </c:pt>
                <c:pt idx="633">
                  <c:v>136.61258109569243</c:v>
                </c:pt>
                <c:pt idx="634">
                  <c:v>136.61274196654028</c:v>
                </c:pt>
                <c:pt idx="635">
                  <c:v>136.61290283437506</c:v>
                </c:pt>
                <c:pt idx="636">
                  <c:v>136.61306369919677</c:v>
                </c:pt>
                <c:pt idx="637">
                  <c:v>136.61322456100552</c:v>
                </c:pt>
                <c:pt idx="638">
                  <c:v>136.61338541980123</c:v>
                </c:pt>
                <c:pt idx="639">
                  <c:v>136.61354627558399</c:v>
                </c:pt>
                <c:pt idx="640">
                  <c:v>136.61370712835381</c:v>
                </c:pt>
                <c:pt idx="641">
                  <c:v>136.6138679781107</c:v>
                </c:pt>
                <c:pt idx="642">
                  <c:v>136.6140288248547</c:v>
                </c:pt>
                <c:pt idx="643">
                  <c:v>136.61418966858582</c:v>
                </c:pt>
                <c:pt idx="644">
                  <c:v>136.61435050930413</c:v>
                </c:pt>
                <c:pt idx="645">
                  <c:v>136.6145113470096</c:v>
                </c:pt>
                <c:pt idx="646">
                  <c:v>136.6146721817023</c:v>
                </c:pt>
                <c:pt idx="647">
                  <c:v>136.61483301338222</c:v>
                </c:pt>
                <c:pt idx="648">
                  <c:v>136.61499384204939</c:v>
                </c:pt>
                <c:pt idx="649">
                  <c:v>136.61515466770388</c:v>
                </c:pt>
                <c:pt idx="650">
                  <c:v>136.61531549034561</c:v>
                </c:pt>
                <c:pt idx="651">
                  <c:v>136.61547630997475</c:v>
                </c:pt>
                <c:pt idx="652">
                  <c:v>136.6156371265912</c:v>
                </c:pt>
                <c:pt idx="653">
                  <c:v>136.61579794019505</c:v>
                </c:pt>
                <c:pt idx="654">
                  <c:v>136.61595875078632</c:v>
                </c:pt>
                <c:pt idx="655">
                  <c:v>136.616119558365</c:v>
                </c:pt>
                <c:pt idx="656">
                  <c:v>136.61628036293115</c:v>
                </c:pt>
                <c:pt idx="657">
                  <c:v>136.6164411644848</c:v>
                </c:pt>
                <c:pt idx="658">
                  <c:v>136.61660196302597</c:v>
                </c:pt>
                <c:pt idx="659">
                  <c:v>136.61676275855464</c:v>
                </c:pt>
                <c:pt idx="660">
                  <c:v>136.6169235510709</c:v>
                </c:pt>
                <c:pt idx="661">
                  <c:v>136.61708434057473</c:v>
                </c:pt>
                <c:pt idx="662">
                  <c:v>136.61724512706618</c:v>
                </c:pt>
                <c:pt idx="663">
                  <c:v>136.61740591054527</c:v>
                </c:pt>
                <c:pt idx="664">
                  <c:v>136.61756669101206</c:v>
                </c:pt>
                <c:pt idx="665">
                  <c:v>136.61772746846648</c:v>
                </c:pt>
                <c:pt idx="666">
                  <c:v>136.61788824290866</c:v>
                </c:pt>
                <c:pt idx="667">
                  <c:v>136.61804901433854</c:v>
                </c:pt>
                <c:pt idx="668">
                  <c:v>136.61820978275617</c:v>
                </c:pt>
                <c:pt idx="669">
                  <c:v>136.61837054816161</c:v>
                </c:pt>
                <c:pt idx="670">
                  <c:v>136.61853131055486</c:v>
                </c:pt>
                <c:pt idx="671">
                  <c:v>136.61869206993595</c:v>
                </c:pt>
                <c:pt idx="672">
                  <c:v>136.61885282630496</c:v>
                </c:pt>
                <c:pt idx="673">
                  <c:v>136.61901357966178</c:v>
                </c:pt>
                <c:pt idx="674">
                  <c:v>136.61917433000656</c:v>
                </c:pt>
                <c:pt idx="675">
                  <c:v>136.61933507733926</c:v>
                </c:pt>
                <c:pt idx="676">
                  <c:v>136.61949582165994</c:v>
                </c:pt>
                <c:pt idx="677">
                  <c:v>136.61965656296863</c:v>
                </c:pt>
                <c:pt idx="678">
                  <c:v>136.6198173012653</c:v>
                </c:pt>
                <c:pt idx="679">
                  <c:v>136.61997803655004</c:v>
                </c:pt>
                <c:pt idx="680">
                  <c:v>136.62013876882284</c:v>
                </c:pt>
                <c:pt idx="681">
                  <c:v>136.62029949808371</c:v>
                </c:pt>
                <c:pt idx="682">
                  <c:v>136.6204602243327</c:v>
                </c:pt>
                <c:pt idx="683">
                  <c:v>136.62062094756985</c:v>
                </c:pt>
                <c:pt idx="684">
                  <c:v>136.62078166779517</c:v>
                </c:pt>
                <c:pt idx="685">
                  <c:v>136.6209423850087</c:v>
                </c:pt>
                <c:pt idx="686">
                  <c:v>136.62110309921042</c:v>
                </c:pt>
                <c:pt idx="687">
                  <c:v>136.62126381040036</c:v>
                </c:pt>
                <c:pt idx="688">
                  <c:v>136.62142451857861</c:v>
                </c:pt>
                <c:pt idx="689">
                  <c:v>136.62158522374514</c:v>
                </c:pt>
                <c:pt idx="690">
                  <c:v>136.6217459259</c:v>
                </c:pt>
                <c:pt idx="691">
                  <c:v>136.62190662504321</c:v>
                </c:pt>
                <c:pt idx="692">
                  <c:v>136.6220673211748</c:v>
                </c:pt>
                <c:pt idx="693">
                  <c:v>136.62222801429473</c:v>
                </c:pt>
                <c:pt idx="694">
                  <c:v>136.62238870440311</c:v>
                </c:pt>
                <c:pt idx="695">
                  <c:v>136.62254939149994</c:v>
                </c:pt>
                <c:pt idx="696">
                  <c:v>136.62271007558522</c:v>
                </c:pt>
                <c:pt idx="697">
                  <c:v>136.62287075665901</c:v>
                </c:pt>
                <c:pt idx="698">
                  <c:v>136.62303143472133</c:v>
                </c:pt>
                <c:pt idx="699">
                  <c:v>136.62319210977219</c:v>
                </c:pt>
                <c:pt idx="700">
                  <c:v>136.6233527818116</c:v>
                </c:pt>
                <c:pt idx="701">
                  <c:v>136.62351345083965</c:v>
                </c:pt>
                <c:pt idx="702">
                  <c:v>136.62367411685631</c:v>
                </c:pt>
                <c:pt idx="703">
                  <c:v>136.6238347798616</c:v>
                </c:pt>
                <c:pt idx="704">
                  <c:v>136.62399543985558</c:v>
                </c:pt>
                <c:pt idx="705">
                  <c:v>136.62415609683825</c:v>
                </c:pt>
                <c:pt idx="706">
                  <c:v>136.62431675080964</c:v>
                </c:pt>
                <c:pt idx="707">
                  <c:v>136.62447740176978</c:v>
                </c:pt>
                <c:pt idx="708">
                  <c:v>136.62463804971867</c:v>
                </c:pt>
                <c:pt idx="709">
                  <c:v>136.62479869465642</c:v>
                </c:pt>
                <c:pt idx="710">
                  <c:v>136.62495933658292</c:v>
                </c:pt>
                <c:pt idx="711">
                  <c:v>136.62511997549834</c:v>
                </c:pt>
                <c:pt idx="712">
                  <c:v>136.62528061140259</c:v>
                </c:pt>
                <c:pt idx="713">
                  <c:v>136.62544124429573</c:v>
                </c:pt>
                <c:pt idx="714">
                  <c:v>136.62560187417782</c:v>
                </c:pt>
                <c:pt idx="715">
                  <c:v>136.62576250104885</c:v>
                </c:pt>
                <c:pt idx="716">
                  <c:v>136.62592312490887</c:v>
                </c:pt>
                <c:pt idx="717">
                  <c:v>136.62608374575788</c:v>
                </c:pt>
                <c:pt idx="718">
                  <c:v>136.62624436359593</c:v>
                </c:pt>
                <c:pt idx="719">
                  <c:v>136.62640497842301</c:v>
                </c:pt>
                <c:pt idx="720">
                  <c:v>136.62656559023921</c:v>
                </c:pt>
                <c:pt idx="721">
                  <c:v>136.62672619904447</c:v>
                </c:pt>
                <c:pt idx="722">
                  <c:v>136.62688680483888</c:v>
                </c:pt>
                <c:pt idx="723">
                  <c:v>136.62704740762243</c:v>
                </c:pt>
                <c:pt idx="724">
                  <c:v>136.62720800739515</c:v>
                </c:pt>
                <c:pt idx="725">
                  <c:v>136.62736860415708</c:v>
                </c:pt>
                <c:pt idx="726">
                  <c:v>136.62752919790827</c:v>
                </c:pt>
                <c:pt idx="727">
                  <c:v>136.62768978864867</c:v>
                </c:pt>
                <c:pt idx="728">
                  <c:v>136.62785037637838</c:v>
                </c:pt>
                <c:pt idx="729">
                  <c:v>136.62801096109735</c:v>
                </c:pt>
                <c:pt idx="730">
                  <c:v>136.62817154280566</c:v>
                </c:pt>
                <c:pt idx="731">
                  <c:v>136.62833212150335</c:v>
                </c:pt>
                <c:pt idx="732">
                  <c:v>136.62849269719041</c:v>
                </c:pt>
                <c:pt idx="733">
                  <c:v>136.62865326986687</c:v>
                </c:pt>
                <c:pt idx="734">
                  <c:v>136.62881383953277</c:v>
                </c:pt>
                <c:pt idx="735">
                  <c:v>136.62897440618815</c:v>
                </c:pt>
                <c:pt idx="736">
                  <c:v>136.62913496983299</c:v>
                </c:pt>
                <c:pt idx="737">
                  <c:v>136.62929553046729</c:v>
                </c:pt>
                <c:pt idx="738">
                  <c:v>136.62945608809116</c:v>
                </c:pt>
                <c:pt idx="739">
                  <c:v>136.6296166427046</c:v>
                </c:pt>
                <c:pt idx="740">
                  <c:v>136.62977719430759</c:v>
                </c:pt>
                <c:pt idx="741">
                  <c:v>136.62993774290021</c:v>
                </c:pt>
                <c:pt idx="742">
                  <c:v>136.63009828848246</c:v>
                </c:pt>
                <c:pt idx="743">
                  <c:v>136.63025883105436</c:v>
                </c:pt>
                <c:pt idx="744">
                  <c:v>136.63041937061593</c:v>
                </c:pt>
                <c:pt idx="745">
                  <c:v>136.6305799071672</c:v>
                </c:pt>
                <c:pt idx="746">
                  <c:v>136.63074044070822</c:v>
                </c:pt>
                <c:pt idx="747">
                  <c:v>136.63090097123899</c:v>
                </c:pt>
                <c:pt idx="748">
                  <c:v>136.63106149875955</c:v>
                </c:pt>
                <c:pt idx="749">
                  <c:v>136.63122202326991</c:v>
                </c:pt>
                <c:pt idx="750">
                  <c:v>136.63138254477013</c:v>
                </c:pt>
                <c:pt idx="751">
                  <c:v>136.63154306326018</c:v>
                </c:pt>
                <c:pt idx="752">
                  <c:v>136.63170357874014</c:v>
                </c:pt>
                <c:pt idx="753">
                  <c:v>136.63186409121002</c:v>
                </c:pt>
                <c:pt idx="754">
                  <c:v>136.63202460066981</c:v>
                </c:pt>
                <c:pt idx="755">
                  <c:v>136.63218510711957</c:v>
                </c:pt>
                <c:pt idx="756">
                  <c:v>136.6323456105593</c:v>
                </c:pt>
                <c:pt idx="757">
                  <c:v>136.63250611098906</c:v>
                </c:pt>
                <c:pt idx="758">
                  <c:v>136.63266660840884</c:v>
                </c:pt>
                <c:pt idx="759">
                  <c:v>136.63282710281871</c:v>
                </c:pt>
                <c:pt idx="760">
                  <c:v>136.63298759421863</c:v>
                </c:pt>
                <c:pt idx="761">
                  <c:v>136.63314808260867</c:v>
                </c:pt>
                <c:pt idx="762">
                  <c:v>136.63330856798885</c:v>
                </c:pt>
                <c:pt idx="763">
                  <c:v>136.6334690503592</c:v>
                </c:pt>
                <c:pt idx="764">
                  <c:v>136.63362952971974</c:v>
                </c:pt>
                <c:pt idx="765">
                  <c:v>136.63379000607051</c:v>
                </c:pt>
                <c:pt idx="766">
                  <c:v>136.63395047941148</c:v>
                </c:pt>
                <c:pt idx="767">
                  <c:v>136.63411094974276</c:v>
                </c:pt>
                <c:pt idx="768">
                  <c:v>136.63427141706427</c:v>
                </c:pt>
                <c:pt idx="769">
                  <c:v>136.63443188137614</c:v>
                </c:pt>
                <c:pt idx="770">
                  <c:v>136.63459234267833</c:v>
                </c:pt>
                <c:pt idx="771">
                  <c:v>136.63475280097086</c:v>
                </c:pt>
                <c:pt idx="772">
                  <c:v>136.63491325625381</c:v>
                </c:pt>
                <c:pt idx="773">
                  <c:v>136.63507370852719</c:v>
                </c:pt>
                <c:pt idx="774">
                  <c:v>136.63523415779096</c:v>
                </c:pt>
                <c:pt idx="775">
                  <c:v>136.63539460404522</c:v>
                </c:pt>
                <c:pt idx="776">
                  <c:v>136.63555504728998</c:v>
                </c:pt>
                <c:pt idx="777">
                  <c:v>136.63571548752523</c:v>
                </c:pt>
                <c:pt idx="778">
                  <c:v>136.63587592475105</c:v>
                </c:pt>
                <c:pt idx="779">
                  <c:v>136.6360363589674</c:v>
                </c:pt>
                <c:pt idx="780">
                  <c:v>136.63619679017438</c:v>
                </c:pt>
                <c:pt idx="781">
                  <c:v>136.63635721837196</c:v>
                </c:pt>
                <c:pt idx="782">
                  <c:v>136.63651764356018</c:v>
                </c:pt>
                <c:pt idx="783">
                  <c:v>136.63667806573906</c:v>
                </c:pt>
                <c:pt idx="784">
                  <c:v>136.63683848490865</c:v>
                </c:pt>
                <c:pt idx="785">
                  <c:v>136.63699890106895</c:v>
                </c:pt>
                <c:pt idx="786">
                  <c:v>136.63715931421999</c:v>
                </c:pt>
                <c:pt idx="787">
                  <c:v>136.63731972436179</c:v>
                </c:pt>
                <c:pt idx="788">
                  <c:v>136.63748013149441</c:v>
                </c:pt>
                <c:pt idx="789">
                  <c:v>136.63764053561781</c:v>
                </c:pt>
                <c:pt idx="790">
                  <c:v>136.63780093673208</c:v>
                </c:pt>
                <c:pt idx="791">
                  <c:v>136.63796133483723</c:v>
                </c:pt>
                <c:pt idx="792">
                  <c:v>136.63812172993326</c:v>
                </c:pt>
                <c:pt idx="793">
                  <c:v>136.63828212202023</c:v>
                </c:pt>
                <c:pt idx="794">
                  <c:v>136.63844251109813</c:v>
                </c:pt>
                <c:pt idx="795">
                  <c:v>136.638602897167</c:v>
                </c:pt>
                <c:pt idx="796">
                  <c:v>136.63876328022684</c:v>
                </c:pt>
                <c:pt idx="797">
                  <c:v>136.63892366027773</c:v>
                </c:pt>
                <c:pt idx="798">
                  <c:v>136.63908403731966</c:v>
                </c:pt>
                <c:pt idx="799">
                  <c:v>136.63924441135268</c:v>
                </c:pt>
                <c:pt idx="800">
                  <c:v>136.63940478237677</c:v>
                </c:pt>
                <c:pt idx="801">
                  <c:v>136.639565150392</c:v>
                </c:pt>
                <c:pt idx="802">
                  <c:v>136.63972551539837</c:v>
                </c:pt>
                <c:pt idx="803">
                  <c:v>136.6398858773959</c:v>
                </c:pt>
                <c:pt idx="804">
                  <c:v>136.64004623638459</c:v>
                </c:pt>
                <c:pt idx="805">
                  <c:v>136.64020659236456</c:v>
                </c:pt>
                <c:pt idx="806">
                  <c:v>136.64036694533578</c:v>
                </c:pt>
                <c:pt idx="807">
                  <c:v>136.64052729529826</c:v>
                </c:pt>
                <c:pt idx="808">
                  <c:v>136.64068764225203</c:v>
                </c:pt>
                <c:pt idx="809">
                  <c:v>136.64084798619712</c:v>
                </c:pt>
                <c:pt idx="810">
                  <c:v>136.64100832713353</c:v>
                </c:pt>
                <c:pt idx="811">
                  <c:v>136.64116866506134</c:v>
                </c:pt>
                <c:pt idx="812">
                  <c:v>136.64132899998054</c:v>
                </c:pt>
                <c:pt idx="813">
                  <c:v>136.64148933189117</c:v>
                </c:pt>
                <c:pt idx="814">
                  <c:v>136.64164966079326</c:v>
                </c:pt>
                <c:pt idx="815">
                  <c:v>136.64180998668687</c:v>
                </c:pt>
                <c:pt idx="816">
                  <c:v>136.64197030957189</c:v>
                </c:pt>
                <c:pt idx="817">
                  <c:v>136.6421306294485</c:v>
                </c:pt>
                <c:pt idx="818">
                  <c:v>136.64229094631662</c:v>
                </c:pt>
                <c:pt idx="819">
                  <c:v>136.64245126017636</c:v>
                </c:pt>
                <c:pt idx="820">
                  <c:v>136.64261157102769</c:v>
                </c:pt>
                <c:pt idx="821">
                  <c:v>136.64277187887063</c:v>
                </c:pt>
                <c:pt idx="822">
                  <c:v>136.64293218370523</c:v>
                </c:pt>
                <c:pt idx="823">
                  <c:v>136.6430924855315</c:v>
                </c:pt>
                <c:pt idx="824">
                  <c:v>136.64325278434947</c:v>
                </c:pt>
                <c:pt idx="825">
                  <c:v>136.64341308015918</c:v>
                </c:pt>
                <c:pt idx="826">
                  <c:v>136.64357337296062</c:v>
                </c:pt>
                <c:pt idx="827">
                  <c:v>136.64373366275387</c:v>
                </c:pt>
                <c:pt idx="828">
                  <c:v>136.64389394953889</c:v>
                </c:pt>
                <c:pt idx="829">
                  <c:v>136.64405423331576</c:v>
                </c:pt>
                <c:pt idx="830">
                  <c:v>136.64421451408447</c:v>
                </c:pt>
                <c:pt idx="831">
                  <c:v>136.64437479184505</c:v>
                </c:pt>
                <c:pt idx="832">
                  <c:v>136.64453506659754</c:v>
                </c:pt>
                <c:pt idx="833">
                  <c:v>136.64469533834199</c:v>
                </c:pt>
                <c:pt idx="834">
                  <c:v>136.64485560707837</c:v>
                </c:pt>
                <c:pt idx="835">
                  <c:v>136.64501587280674</c:v>
                </c:pt>
                <c:pt idx="836">
                  <c:v>136.64517613552709</c:v>
                </c:pt>
                <c:pt idx="837">
                  <c:v>136.6453363952395</c:v>
                </c:pt>
                <c:pt idx="838">
                  <c:v>136.64549665194394</c:v>
                </c:pt>
                <c:pt idx="839">
                  <c:v>136.64565690564049</c:v>
                </c:pt>
                <c:pt idx="840">
                  <c:v>136.64581715632912</c:v>
                </c:pt>
                <c:pt idx="841">
                  <c:v>136.6459774040099</c:v>
                </c:pt>
                <c:pt idx="842">
                  <c:v>136.64613764868281</c:v>
                </c:pt>
                <c:pt idx="843">
                  <c:v>136.64629789034794</c:v>
                </c:pt>
                <c:pt idx="844">
                  <c:v>136.64645812900525</c:v>
                </c:pt>
                <c:pt idx="845">
                  <c:v>136.64661836465478</c:v>
                </c:pt>
                <c:pt idx="846">
                  <c:v>136.64677859729659</c:v>
                </c:pt>
                <c:pt idx="847">
                  <c:v>136.64693882693066</c:v>
                </c:pt>
                <c:pt idx="848">
                  <c:v>136.64709905355704</c:v>
                </c:pt>
                <c:pt idx="849">
                  <c:v>136.64725927717578</c:v>
                </c:pt>
                <c:pt idx="850">
                  <c:v>136.64741949778687</c:v>
                </c:pt>
                <c:pt idx="851">
                  <c:v>136.64757971539035</c:v>
                </c:pt>
                <c:pt idx="852">
                  <c:v>136.64773992998622</c:v>
                </c:pt>
                <c:pt idx="853">
                  <c:v>136.64790014157452</c:v>
                </c:pt>
                <c:pt idx="854">
                  <c:v>136.64806035015533</c:v>
                </c:pt>
                <c:pt idx="855">
                  <c:v>136.64822055572859</c:v>
                </c:pt>
                <c:pt idx="856">
                  <c:v>136.64838075829437</c:v>
                </c:pt>
                <c:pt idx="857">
                  <c:v>136.64854095785267</c:v>
                </c:pt>
                <c:pt idx="858">
                  <c:v>136.64870115440354</c:v>
                </c:pt>
                <c:pt idx="859">
                  <c:v>136.64886134794696</c:v>
                </c:pt>
                <c:pt idx="860">
                  <c:v>136.64902153848303</c:v>
                </c:pt>
                <c:pt idx="861">
                  <c:v>136.64918172601173</c:v>
                </c:pt>
                <c:pt idx="862">
                  <c:v>136.64934191053308</c:v>
                </c:pt>
                <c:pt idx="863">
                  <c:v>136.64950209204713</c:v>
                </c:pt>
                <c:pt idx="864">
                  <c:v>136.6496622705539</c:v>
                </c:pt>
                <c:pt idx="865">
                  <c:v>136.64982244605338</c:v>
                </c:pt>
                <c:pt idx="866">
                  <c:v>136.64998261854561</c:v>
                </c:pt>
                <c:pt idx="867">
                  <c:v>136.65014278803065</c:v>
                </c:pt>
                <c:pt idx="868">
                  <c:v>136.6503029545085</c:v>
                </c:pt>
                <c:pt idx="869">
                  <c:v>136.6504631179792</c:v>
                </c:pt>
                <c:pt idx="870">
                  <c:v>136.65062327844271</c:v>
                </c:pt>
                <c:pt idx="871">
                  <c:v>136.65078343589917</c:v>
                </c:pt>
                <c:pt idx="872">
                  <c:v>136.65094359034853</c:v>
                </c:pt>
                <c:pt idx="873">
                  <c:v>136.65110374179082</c:v>
                </c:pt>
                <c:pt idx="874">
                  <c:v>136.65126389022606</c:v>
                </c:pt>
                <c:pt idx="875">
                  <c:v>136.65142403565432</c:v>
                </c:pt>
                <c:pt idx="876">
                  <c:v>136.65158417807561</c:v>
                </c:pt>
                <c:pt idx="877">
                  <c:v>136.65174431748989</c:v>
                </c:pt>
                <c:pt idx="878">
                  <c:v>136.65190445389726</c:v>
                </c:pt>
                <c:pt idx="879">
                  <c:v>136.65206458729773</c:v>
                </c:pt>
                <c:pt idx="880">
                  <c:v>136.6522247176913</c:v>
                </c:pt>
                <c:pt idx="881">
                  <c:v>136.65238484507802</c:v>
                </c:pt>
                <c:pt idx="882">
                  <c:v>136.65254496945789</c:v>
                </c:pt>
                <c:pt idx="883">
                  <c:v>136.65270509083098</c:v>
                </c:pt>
                <c:pt idx="884">
                  <c:v>136.65286520919724</c:v>
                </c:pt>
                <c:pt idx="885">
                  <c:v>136.65302532455678</c:v>
                </c:pt>
                <c:pt idx="886">
                  <c:v>136.65318543690958</c:v>
                </c:pt>
                <c:pt idx="887">
                  <c:v>136.65334554625565</c:v>
                </c:pt>
                <c:pt idx="888">
                  <c:v>136.65350565259507</c:v>
                </c:pt>
                <c:pt idx="889">
                  <c:v>136.65366575592779</c:v>
                </c:pt>
                <c:pt idx="890">
                  <c:v>136.65382585625392</c:v>
                </c:pt>
                <c:pt idx="891">
                  <c:v>136.65398595357343</c:v>
                </c:pt>
                <c:pt idx="892">
                  <c:v>136.65414604788634</c:v>
                </c:pt>
                <c:pt idx="893">
                  <c:v>136.6543061391927</c:v>
                </c:pt>
                <c:pt idx="894">
                  <c:v>136.65446622749255</c:v>
                </c:pt>
                <c:pt idx="895">
                  <c:v>136.65462631278587</c:v>
                </c:pt>
                <c:pt idx="896">
                  <c:v>136.6547863950727</c:v>
                </c:pt>
                <c:pt idx="897">
                  <c:v>136.65494647435307</c:v>
                </c:pt>
                <c:pt idx="898">
                  <c:v>136.65510655062707</c:v>
                </c:pt>
                <c:pt idx="899">
                  <c:v>136.65526662389465</c:v>
                </c:pt>
                <c:pt idx="900">
                  <c:v>136.65542669415581</c:v>
                </c:pt>
                <c:pt idx="901">
                  <c:v>136.6555867614106</c:v>
                </c:pt>
                <c:pt idx="902">
                  <c:v>136.65574682565912</c:v>
                </c:pt>
                <c:pt idx="903">
                  <c:v>136.65590688690131</c:v>
                </c:pt>
                <c:pt idx="904">
                  <c:v>136.65606694513721</c:v>
                </c:pt>
                <c:pt idx="905">
                  <c:v>136.65622700036687</c:v>
                </c:pt>
                <c:pt idx="906">
                  <c:v>136.6563870525903</c:v>
                </c:pt>
                <c:pt idx="907">
                  <c:v>136.65654710180755</c:v>
                </c:pt>
                <c:pt idx="908">
                  <c:v>136.6567071480186</c:v>
                </c:pt>
                <c:pt idx="909">
                  <c:v>136.65686719122348</c:v>
                </c:pt>
                <c:pt idx="910">
                  <c:v>136.65702723142226</c:v>
                </c:pt>
                <c:pt idx="911">
                  <c:v>136.65718726861493</c:v>
                </c:pt>
                <c:pt idx="912">
                  <c:v>136.65734730280153</c:v>
                </c:pt>
                <c:pt idx="913">
                  <c:v>136.65750733398207</c:v>
                </c:pt>
                <c:pt idx="914">
                  <c:v>136.65766736215656</c:v>
                </c:pt>
                <c:pt idx="915">
                  <c:v>136.65782738732509</c:v>
                </c:pt>
                <c:pt idx="916">
                  <c:v>136.65798740948762</c:v>
                </c:pt>
                <c:pt idx="917">
                  <c:v>136.65814742864421</c:v>
                </c:pt>
                <c:pt idx="918">
                  <c:v>136.65830744479487</c:v>
                </c:pt>
                <c:pt idx="919">
                  <c:v>136.65846745793965</c:v>
                </c:pt>
                <c:pt idx="920">
                  <c:v>136.65862746807852</c:v>
                </c:pt>
                <c:pt idx="921">
                  <c:v>136.65878747521154</c:v>
                </c:pt>
                <c:pt idx="922">
                  <c:v>136.65894747933874</c:v>
                </c:pt>
                <c:pt idx="923">
                  <c:v>136.65910748046016</c:v>
                </c:pt>
                <c:pt idx="924">
                  <c:v>136.6592674785758</c:v>
                </c:pt>
                <c:pt idx="925">
                  <c:v>136.65942747368567</c:v>
                </c:pt>
                <c:pt idx="926">
                  <c:v>136.65958746578983</c:v>
                </c:pt>
                <c:pt idx="927">
                  <c:v>136.65974745488828</c:v>
                </c:pt>
                <c:pt idx="928">
                  <c:v>136.65990744098107</c:v>
                </c:pt>
                <c:pt idx="929">
                  <c:v>136.66006742406822</c:v>
                </c:pt>
                <c:pt idx="930">
                  <c:v>136.66022740414974</c:v>
                </c:pt>
                <c:pt idx="931">
                  <c:v>136.66038738122563</c:v>
                </c:pt>
                <c:pt idx="932">
                  <c:v>136.66054735529602</c:v>
                </c:pt>
                <c:pt idx="933">
                  <c:v>136.66070732636081</c:v>
                </c:pt>
                <c:pt idx="934">
                  <c:v>136.66086729442009</c:v>
                </c:pt>
                <c:pt idx="935">
                  <c:v>136.66102725947388</c:v>
                </c:pt>
                <c:pt idx="936">
                  <c:v>136.6611872215222</c:v>
                </c:pt>
                <c:pt idx="937">
                  <c:v>136.66134718056506</c:v>
                </c:pt>
                <c:pt idx="938">
                  <c:v>136.66150713660252</c:v>
                </c:pt>
                <c:pt idx="939">
                  <c:v>136.66166708963456</c:v>
                </c:pt>
                <c:pt idx="940">
                  <c:v>136.66182703966123</c:v>
                </c:pt>
                <c:pt idx="941">
                  <c:v>136.66198698668256</c:v>
                </c:pt>
                <c:pt idx="942">
                  <c:v>136.66214693069858</c:v>
                </c:pt>
                <c:pt idx="943">
                  <c:v>136.66230687170932</c:v>
                </c:pt>
                <c:pt idx="944">
                  <c:v>136.6624668097148</c:v>
                </c:pt>
                <c:pt idx="945">
                  <c:v>136.66262674471503</c:v>
                </c:pt>
                <c:pt idx="946">
                  <c:v>136.66278667671</c:v>
                </c:pt>
                <c:pt idx="947">
                  <c:v>136.6629466056998</c:v>
                </c:pt>
                <c:pt idx="948">
                  <c:v>136.66310653168443</c:v>
                </c:pt>
                <c:pt idx="949">
                  <c:v>136.66326645466393</c:v>
                </c:pt>
                <c:pt idx="950">
                  <c:v>136.66342637463828</c:v>
                </c:pt>
                <c:pt idx="951">
                  <c:v>136.66358629160754</c:v>
                </c:pt>
                <c:pt idx="952">
                  <c:v>136.66374620557178</c:v>
                </c:pt>
                <c:pt idx="953">
                  <c:v>136.66390611653094</c:v>
                </c:pt>
                <c:pt idx="954">
                  <c:v>136.66406602448509</c:v>
                </c:pt>
                <c:pt idx="955">
                  <c:v>136.66422592943425</c:v>
                </c:pt>
                <c:pt idx="956">
                  <c:v>136.66438583137847</c:v>
                </c:pt>
                <c:pt idx="957">
                  <c:v>136.66454573031771</c:v>
                </c:pt>
                <c:pt idx="958">
                  <c:v>136.66470562625202</c:v>
                </c:pt>
                <c:pt idx="959">
                  <c:v>136.66486551918146</c:v>
                </c:pt>
                <c:pt idx="960">
                  <c:v>136.66502540910605</c:v>
                </c:pt>
                <c:pt idx="961">
                  <c:v>136.66518529602581</c:v>
                </c:pt>
                <c:pt idx="962">
                  <c:v>136.66534517994074</c:v>
                </c:pt>
                <c:pt idx="963">
                  <c:v>136.66550506085088</c:v>
                </c:pt>
                <c:pt idx="964">
                  <c:v>136.66566493875624</c:v>
                </c:pt>
                <c:pt idx="965">
                  <c:v>136.66582481365685</c:v>
                </c:pt>
                <c:pt idx="966">
                  <c:v>136.66598468555276</c:v>
                </c:pt>
                <c:pt idx="967">
                  <c:v>136.66614455444403</c:v>
                </c:pt>
                <c:pt idx="968">
                  <c:v>136.66630442033059</c:v>
                </c:pt>
                <c:pt idx="969">
                  <c:v>136.66646428321249</c:v>
                </c:pt>
                <c:pt idx="970">
                  <c:v>136.66662414308982</c:v>
                </c:pt>
                <c:pt idx="971">
                  <c:v>136.66678399996255</c:v>
                </c:pt>
                <c:pt idx="972">
                  <c:v>136.6669438538307</c:v>
                </c:pt>
                <c:pt idx="973">
                  <c:v>136.66710370469434</c:v>
                </c:pt>
                <c:pt idx="974">
                  <c:v>136.66726355255344</c:v>
                </c:pt>
                <c:pt idx="975">
                  <c:v>136.66742339740804</c:v>
                </c:pt>
                <c:pt idx="976">
                  <c:v>136.66758323925822</c:v>
                </c:pt>
                <c:pt idx="977">
                  <c:v>136.66774307810394</c:v>
                </c:pt>
                <c:pt idx="978">
                  <c:v>136.66790291394526</c:v>
                </c:pt>
                <c:pt idx="979">
                  <c:v>136.66806274678217</c:v>
                </c:pt>
                <c:pt idx="980">
                  <c:v>136.66822257661474</c:v>
                </c:pt>
                <c:pt idx="981">
                  <c:v>136.66838240344299</c:v>
                </c:pt>
                <c:pt idx="982">
                  <c:v>136.6685422272669</c:v>
                </c:pt>
                <c:pt idx="983">
                  <c:v>136.66870204808654</c:v>
                </c:pt>
                <c:pt idx="984">
                  <c:v>136.66886186590193</c:v>
                </c:pt>
                <c:pt idx="985">
                  <c:v>136.66902168071306</c:v>
                </c:pt>
                <c:pt idx="986">
                  <c:v>136.66918149251998</c:v>
                </c:pt>
                <c:pt idx="987">
                  <c:v>136.66934130132273</c:v>
                </c:pt>
                <c:pt idx="988">
                  <c:v>136.66950110712131</c:v>
                </c:pt>
                <c:pt idx="989">
                  <c:v>136.66966090991576</c:v>
                </c:pt>
                <c:pt idx="990">
                  <c:v>136.66982070970613</c:v>
                </c:pt>
                <c:pt idx="991">
                  <c:v>136.66998050649238</c:v>
                </c:pt>
                <c:pt idx="992">
                  <c:v>136.6701403002746</c:v>
                </c:pt>
                <c:pt idx="993">
                  <c:v>136.67030009105275</c:v>
                </c:pt>
                <c:pt idx="994">
                  <c:v>136.67045987882693</c:v>
                </c:pt>
                <c:pt idx="995">
                  <c:v>136.67061966359711</c:v>
                </c:pt>
                <c:pt idx="996">
                  <c:v>136.67077944536334</c:v>
                </c:pt>
                <c:pt idx="997">
                  <c:v>136.67093922412565</c:v>
                </c:pt>
                <c:pt idx="998">
                  <c:v>136.67109899988401</c:v>
                </c:pt>
                <c:pt idx="999">
                  <c:v>136.67125877263851</c:v>
                </c:pt>
                <c:pt idx="1000">
                  <c:v>136.67141854238915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D-4013-AEEF-2FD179FA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60"/>
        <c:axId val="149132032"/>
      </c:scatterChart>
      <c:valAx>
        <c:axId val="14912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32032"/>
        <c:crosses val="autoZero"/>
        <c:crossBetween val="midCat"/>
      </c:valAx>
      <c:valAx>
        <c:axId val="149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9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2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9684544148961"/>
          <c:y val="0.46444479440069991"/>
          <c:w val="0.13207559550339221"/>
          <c:h val="7.777777777777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104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-1.4947314960441958</c:v>
                </c:pt>
                <c:pt idx="2">
                  <c:v>28.568251200153064</c:v>
                </c:pt>
                <c:pt idx="3">
                  <c:v>41.179827550532593</c:v>
                </c:pt>
                <c:pt idx="4">
                  <c:v>36.340225591059557</c:v>
                </c:pt>
                <c:pt idx="5">
                  <c:v>33.805280209735955</c:v>
                </c:pt>
                <c:pt idx="6">
                  <c:v>33.575098930289698</c:v>
                </c:pt>
                <c:pt idx="7">
                  <c:v>33.344910731015815</c:v>
                </c:pt>
                <c:pt idx="8">
                  <c:v>33.114718154158567</c:v>
                </c:pt>
                <c:pt idx="9">
                  <c:v>32.884523727979811</c:v>
                </c:pt>
                <c:pt idx="10">
                  <c:v>32.654329966702505</c:v>
                </c:pt>
                <c:pt idx="11">
                  <c:v>32.424139370455777</c:v>
                </c:pt>
                <c:pt idx="12">
                  <c:v>32.193954425220824</c:v>
                </c:pt>
                <c:pt idx="13">
                  <c:v>31.963777602778528</c:v>
                </c:pt>
                <c:pt idx="14">
                  <c:v>31.733611360657974</c:v>
                </c:pt>
                <c:pt idx="15">
                  <c:v>31.503458142086448</c:v>
                </c:pt>
                <c:pt idx="16">
                  <c:v>31.273320375940528</c:v>
                </c:pt>
                <c:pt idx="17">
                  <c:v>31.043200476698516</c:v>
                </c:pt>
                <c:pt idx="18">
                  <c:v>30.813100844394043</c:v>
                </c:pt>
                <c:pt idx="19">
                  <c:v>30.583023864570983</c:v>
                </c:pt>
                <c:pt idx="20">
                  <c:v>30.352971908239518</c:v>
                </c:pt>
                <c:pt idx="21">
                  <c:v>30.122947331833419</c:v>
                </c:pt>
                <c:pt idx="22">
                  <c:v>29.892952477168642</c:v>
                </c:pt>
                <c:pt idx="23">
                  <c:v>29.662989671403025</c:v>
                </c:pt>
                <c:pt idx="24">
                  <c:v>29.433061226997296</c:v>
                </c:pt>
                <c:pt idx="25">
                  <c:v>29.203169441677154</c:v>
                </c:pt>
                <c:pt idx="26">
                  <c:v>28.973316598396657</c:v>
                </c:pt>
                <c:pt idx="27">
                  <c:v>28.743504965302769</c:v>
                </c:pt>
                <c:pt idx="28">
                  <c:v>28.513736795701082</c:v>
                </c:pt>
                <c:pt idx="29">
                  <c:v>28.284014328022643</c:v>
                </c:pt>
                <c:pt idx="30">
                  <c:v>28.054339785792163</c:v>
                </c:pt>
                <c:pt idx="31">
                  <c:v>27.824715377597144</c:v>
                </c:pt>
                <c:pt idx="32">
                  <c:v>27.595143297058314</c:v>
                </c:pt>
                <c:pt idx="33">
                  <c:v>27.365625722801177</c:v>
                </c:pt>
                <c:pt idx="34">
                  <c:v>27.136164818428739</c:v>
                </c:pt>
                <c:pt idx="35">
                  <c:v>26.906762732495299</c:v>
                </c:pt>
                <c:pt idx="36">
                  <c:v>26.677421598481487</c:v>
                </c:pt>
                <c:pt idx="37">
                  <c:v>26.448143534770292</c:v>
                </c:pt>
                <c:pt idx="38">
                  <c:v>26.218930644624358</c:v>
                </c:pt>
                <c:pt idx="39">
                  <c:v>25.989785016164284</c:v>
                </c:pt>
                <c:pt idx="40">
                  <c:v>25.760708722348085</c:v>
                </c:pt>
                <c:pt idx="41">
                  <c:v>25.531703820951712</c:v>
                </c:pt>
                <c:pt idx="42">
                  <c:v>25.302772354550733</c:v>
                </c:pt>
                <c:pt idx="43">
                  <c:v>25.073916350503051</c:v>
                </c:pt>
                <c:pt idx="44">
                  <c:v>24.845137820932692</c:v>
                </c:pt>
                <c:pt idx="45">
                  <c:v>24.616438762714665</c:v>
                </c:pt>
                <c:pt idx="46">
                  <c:v>24.387821157460994</c:v>
                </c:pt>
                <c:pt idx="47">
                  <c:v>24.159286971507605</c:v>
                </c:pt>
                <c:pt idx="48">
                  <c:v>23.930838155902482</c:v>
                </c:pt>
                <c:pt idx="49">
                  <c:v>23.702476646394672</c:v>
                </c:pt>
                <c:pt idx="50">
                  <c:v>23.474204363424501</c:v>
                </c:pt>
                <c:pt idx="51">
                  <c:v>23.246023212114629</c:v>
                </c:pt>
                <c:pt idx="52">
                  <c:v>23.017935082262369</c:v>
                </c:pt>
                <c:pt idx="53">
                  <c:v>22.789941848332703</c:v>
                </c:pt>
                <c:pt idx="54">
                  <c:v>22.56204536945264</c:v>
                </c:pt>
                <c:pt idx="55">
                  <c:v>22.334247489406312</c:v>
                </c:pt>
                <c:pt idx="56">
                  <c:v>22.106550036631155</c:v>
                </c:pt>
                <c:pt idx="57">
                  <c:v>21.878954824215139</c:v>
                </c:pt>
                <c:pt idx="58">
                  <c:v>21.651463649894811</c:v>
                </c:pt>
                <c:pt idx="59">
                  <c:v>21.424078296054496</c:v>
                </c:pt>
                <c:pt idx="60">
                  <c:v>21.196800529726243</c:v>
                </c:pt>
                <c:pt idx="61">
                  <c:v>20.969632102590921</c:v>
                </c:pt>
                <c:pt idx="62">
                  <c:v>20.742574750980125</c:v>
                </c:pt>
                <c:pt idx="63">
                  <c:v>20.315769576002658</c:v>
                </c:pt>
                <c:pt idx="64">
                  <c:v>19.689301038116323</c:v>
                </c:pt>
                <c:pt idx="65">
                  <c:v>19.063199910365434</c:v>
                </c:pt>
                <c:pt idx="66">
                  <c:v>18.437474636263357</c:v>
                </c:pt>
                <c:pt idx="67">
                  <c:v>17.628961402728102</c:v>
                </c:pt>
                <c:pt idx="68">
                  <c:v>16.637758218927388</c:v>
                </c:pt>
                <c:pt idx="69">
                  <c:v>15.321455312827409</c:v>
                </c:pt>
                <c:pt idx="70">
                  <c:v>13.680252930695037</c:v>
                </c:pt>
                <c:pt idx="71">
                  <c:v>12.040236163665661</c:v>
                </c:pt>
                <c:pt idx="72">
                  <c:v>10.401451069007583</c:v>
                </c:pt>
                <c:pt idx="73">
                  <c:v>8.7639429689011319</c:v>
                </c:pt>
                <c:pt idx="74">
                  <c:v>7.1277564490490164</c:v>
                </c:pt>
                <c:pt idx="75">
                  <c:v>5.4929353574722732</c:v>
                </c:pt>
                <c:pt idx="76">
                  <c:v>3.8595228034892592</c:v>
                </c:pt>
                <c:pt idx="77">
                  <c:v>2.227561156875467</c:v>
                </c:pt>
                <c:pt idx="78">
                  <c:v>0.59709204720132369</c:v>
                </c:pt>
                <c:pt idx="79">
                  <c:v>-1.031843636654461</c:v>
                </c:pt>
                <c:pt idx="80">
                  <c:v>-2.6592057468185892</c:v>
                </c:pt>
                <c:pt idx="81">
                  <c:v>-3.897586413662955</c:v>
                </c:pt>
                <c:pt idx="82">
                  <c:v>-4.7473243229317381</c:v>
                </c:pt>
                <c:pt idx="83">
                  <c:v>-5.5961986140490545</c:v>
                </c:pt>
                <c:pt idx="84">
                  <c:v>-6.4442000231182544</c:v>
                </c:pt>
                <c:pt idx="85">
                  <c:v>-7.2913194855314369</c:v>
                </c:pt>
                <c:pt idx="86">
                  <c:v>-8.1375481353842609</c:v>
                </c:pt>
                <c:pt idx="87">
                  <c:v>-8.9828773048713053</c:v>
                </c:pt>
                <c:pt idx="88">
                  <c:v>-9.8272985236623942</c:v>
                </c:pt>
                <c:pt idx="89">
                  <c:v>-10.548424132488481</c:v>
                </c:pt>
                <c:pt idx="90">
                  <c:v>-11.146379311820168</c:v>
                </c:pt>
                <c:pt idx="91">
                  <c:v>-11.743680848888108</c:v>
                </c:pt>
                <c:pt idx="92">
                  <c:v>-12.34032554682001</c:v>
                </c:pt>
                <c:pt idx="93">
                  <c:v>-12.905711607500317</c:v>
                </c:pt>
                <c:pt idx="94">
                  <c:v>-13.439870565698278</c:v>
                </c:pt>
                <c:pt idx="95">
                  <c:v>-13.973434836613768</c:v>
                </c:pt>
                <c:pt idx="96">
                  <c:v>-14.506402395160098</c:v>
                </c:pt>
                <c:pt idx="97">
                  <c:v>-14.916366817118577</c:v>
                </c:pt>
                <c:pt idx="98">
                  <c:v>-15.203468558523365</c:v>
                </c:pt>
                <c:pt idx="99">
                  <c:v>-15.490257635883998</c:v>
                </c:pt>
                <c:pt idx="100">
                  <c:v>-15.776734183530273</c:v>
                </c:pt>
                <c:pt idx="101">
                  <c:v>-16.062898355145212</c:v>
                </c:pt>
                <c:pt idx="102">
                  <c:v>-16.348750323651949</c:v>
                </c:pt>
                <c:pt idx="103">
                  <c:v>-16.634290281100633</c:v>
                </c:pt>
                <c:pt idx="104">
                  <c:v>-16.919518438555595</c:v>
                </c:pt>
                <c:pt idx="105">
                  <c:v>-17.204435025982647</c:v>
                </c:pt>
                <c:pt idx="106">
                  <c:v>-17.489040292136533</c:v>
                </c:pt>
                <c:pt idx="107">
                  <c:v>-17.773334504448599</c:v>
                </c:pt>
                <c:pt idx="108">
                  <c:v>-18.057317948914637</c:v>
                </c:pt>
                <c:pt idx="109">
                  <c:v>-18.187972985032037</c:v>
                </c:pt>
                <c:pt idx="110">
                  <c:v>-18.165484851517132</c:v>
                </c:pt>
                <c:pt idx="111">
                  <c:v>-18.143055997162975</c:v>
                </c:pt>
                <c:pt idx="112">
                  <c:v>-18.120686217763406</c:v>
                </c:pt>
                <c:pt idx="113">
                  <c:v>-18.098375309988107</c:v>
                </c:pt>
                <c:pt idx="114">
                  <c:v>-18.076123071377992</c:v>
                </c:pt>
                <c:pt idx="115">
                  <c:v>-18.053929300340613</c:v>
                </c:pt>
                <c:pt idx="116">
                  <c:v>-18.031793796145529</c:v>
                </c:pt>
                <c:pt idx="117">
                  <c:v>-18.009716358919825</c:v>
                </c:pt>
                <c:pt idx="118">
                  <c:v>-17.987696789643529</c:v>
                </c:pt>
                <c:pt idx="119">
                  <c:v>-17.96573489014515</c:v>
                </c:pt>
                <c:pt idx="120">
                  <c:v>-17.943830463097182</c:v>
                </c:pt>
                <c:pt idx="121">
                  <c:v>-17.921983312011701</c:v>
                </c:pt>
                <c:pt idx="122">
                  <c:v>-17.900193241235904</c:v>
                </c:pt>
                <c:pt idx="123">
                  <c:v>-17.878460055947741</c:v>
                </c:pt>
                <c:pt idx="124">
                  <c:v>-17.856783562151556</c:v>
                </c:pt>
                <c:pt idx="125">
                  <c:v>-17.835163566673749</c:v>
                </c:pt>
                <c:pt idx="126">
                  <c:v>-17.813599877158445</c:v>
                </c:pt>
                <c:pt idx="127">
                  <c:v>-17.792092302063235</c:v>
                </c:pt>
                <c:pt idx="128">
                  <c:v>-17.77064065065489</c:v>
                </c:pt>
                <c:pt idx="129">
                  <c:v>-17.749244733005156</c:v>
                </c:pt>
                <c:pt idx="130">
                  <c:v>-17.727904359986503</c:v>
                </c:pt>
                <c:pt idx="131">
                  <c:v>-17.706619343267981</c:v>
                </c:pt>
                <c:pt idx="132">
                  <c:v>-17.685389495311043</c:v>
                </c:pt>
                <c:pt idx="133">
                  <c:v>-17.664214629365389</c:v>
                </c:pt>
                <c:pt idx="134">
                  <c:v>-17.643094559464902</c:v>
                </c:pt>
                <c:pt idx="135">
                  <c:v>-17.622029100423511</c:v>
                </c:pt>
                <c:pt idx="136">
                  <c:v>-17.60101806783117</c:v>
                </c:pt>
                <c:pt idx="137">
                  <c:v>-17.580061278049776</c:v>
                </c:pt>
                <c:pt idx="138">
                  <c:v>-17.559158548209204</c:v>
                </c:pt>
                <c:pt idx="139">
                  <c:v>-17.538309696203282</c:v>
                </c:pt>
                <c:pt idx="140">
                  <c:v>-17.517514540685809</c:v>
                </c:pt>
                <c:pt idx="141">
                  <c:v>-17.49677290106667</c:v>
                </c:pt>
                <c:pt idx="142">
                  <c:v>-17.47608459750785</c:v>
                </c:pt>
                <c:pt idx="143">
                  <c:v>-17.455449450919559</c:v>
                </c:pt>
                <c:pt idx="144">
                  <c:v>-17.434867282956386</c:v>
                </c:pt>
                <c:pt idx="145">
                  <c:v>-17.414337916013384</c:v>
                </c:pt>
                <c:pt idx="146">
                  <c:v>-17.393861173222312</c:v>
                </c:pt>
                <c:pt idx="147">
                  <c:v>-17.373436878447752</c:v>
                </c:pt>
                <c:pt idx="148">
                  <c:v>-17.353064856283382</c:v>
                </c:pt>
                <c:pt idx="149">
                  <c:v>-17.332744932048193</c:v>
                </c:pt>
                <c:pt idx="150">
                  <c:v>-17.312476931782719</c:v>
                </c:pt>
                <c:pt idx="151">
                  <c:v>-17.29226068224537</c:v>
                </c:pt>
                <c:pt idx="152">
                  <c:v>-17.272096010908676</c:v>
                </c:pt>
                <c:pt idx="153">
                  <c:v>-17.251982745955672</c:v>
                </c:pt>
                <c:pt idx="154">
                  <c:v>-17.231920716276164</c:v>
                </c:pt>
                <c:pt idx="155">
                  <c:v>-17.211909751463168</c:v>
                </c:pt>
                <c:pt idx="156">
                  <c:v>-17.191949681809259</c:v>
                </c:pt>
                <c:pt idx="157">
                  <c:v>-17.17204033830297</c:v>
                </c:pt>
                <c:pt idx="158">
                  <c:v>-17.152181552625244</c:v>
                </c:pt>
                <c:pt idx="159">
                  <c:v>-17.13237315714586</c:v>
                </c:pt>
                <c:pt idx="160">
                  <c:v>-17.112614984919926</c:v>
                </c:pt>
                <c:pt idx="161">
                  <c:v>-17.092906869684342</c:v>
                </c:pt>
                <c:pt idx="162">
                  <c:v>-17.073248645854321</c:v>
                </c:pt>
                <c:pt idx="163">
                  <c:v>-17.053640148519921</c:v>
                </c:pt>
                <c:pt idx="164">
                  <c:v>-17.034081213442565</c:v>
                </c:pt>
                <c:pt idx="165">
                  <c:v>-17.014571677051674</c:v>
                </c:pt>
                <c:pt idx="166">
                  <c:v>-16.995111376441177</c:v>
                </c:pt>
                <c:pt idx="167">
                  <c:v>-16.975700149366173</c:v>
                </c:pt>
                <c:pt idx="168">
                  <c:v>-16.956337834239534</c:v>
                </c:pt>
                <c:pt idx="169">
                  <c:v>-16.937024270128546</c:v>
                </c:pt>
                <c:pt idx="170">
                  <c:v>-16.917759296751601</c:v>
                </c:pt>
                <c:pt idx="171">
                  <c:v>-16.898542754474853</c:v>
                </c:pt>
                <c:pt idx="172">
                  <c:v>-16.879374484308929</c:v>
                </c:pt>
                <c:pt idx="173">
                  <c:v>-16.860254327905658</c:v>
                </c:pt>
                <c:pt idx="174">
                  <c:v>-16.841182127554799</c:v>
                </c:pt>
                <c:pt idx="175">
                  <c:v>-16.822157726180794</c:v>
                </c:pt>
                <c:pt idx="176">
                  <c:v>-16.803180967339578</c:v>
                </c:pt>
                <c:pt idx="177">
                  <c:v>-16.784251695215332</c:v>
                </c:pt>
                <c:pt idx="178">
                  <c:v>-16.765369754617325</c:v>
                </c:pt>
                <c:pt idx="179">
                  <c:v>-16.746534990976709</c:v>
                </c:pt>
                <c:pt idx="180">
                  <c:v>-16.72774725034342</c:v>
                </c:pt>
                <c:pt idx="181">
                  <c:v>-16.709006379382998</c:v>
                </c:pt>
                <c:pt idx="182">
                  <c:v>-16.690312225373496</c:v>
                </c:pt>
                <c:pt idx="183">
                  <c:v>-16.671664636202355</c:v>
                </c:pt>
                <c:pt idx="184">
                  <c:v>-16.653063460363359</c:v>
                </c:pt>
                <c:pt idx="185">
                  <c:v>-16.634508546953544</c:v>
                </c:pt>
                <c:pt idx="186">
                  <c:v>-16.615999745670138</c:v>
                </c:pt>
                <c:pt idx="187">
                  <c:v>-16.597536906807576</c:v>
                </c:pt>
                <c:pt idx="188">
                  <c:v>-16.579119881254442</c:v>
                </c:pt>
                <c:pt idx="189">
                  <c:v>-16.560748520490503</c:v>
                </c:pt>
                <c:pt idx="190">
                  <c:v>-16.542422676583698</c:v>
                </c:pt>
                <c:pt idx="191">
                  <c:v>-16.524142202187193</c:v>
                </c:pt>
                <c:pt idx="192">
                  <c:v>-16.505906950536438</c:v>
                </c:pt>
                <c:pt idx="193">
                  <c:v>-16.487716775446223</c:v>
                </c:pt>
                <c:pt idx="194">
                  <c:v>-16.469571531307778</c:v>
                </c:pt>
                <c:pt idx="195">
                  <c:v>-16.451471073085841</c:v>
                </c:pt>
                <c:pt idx="196">
                  <c:v>-16.433415256315826</c:v>
                </c:pt>
                <c:pt idx="197">
                  <c:v>-16.415403937100905</c:v>
                </c:pt>
                <c:pt idx="198">
                  <c:v>-16.397436972109183</c:v>
                </c:pt>
                <c:pt idx="199">
                  <c:v>-16.379514218570876</c:v>
                </c:pt>
                <c:pt idx="200">
                  <c:v>-16.361635534275443</c:v>
                </c:pt>
                <c:pt idx="201">
                  <c:v>-16.343800777568831</c:v>
                </c:pt>
                <c:pt idx="202">
                  <c:v>-16.167043827875418</c:v>
                </c:pt>
                <c:pt idx="203">
                  <c:v>-15.994576820943289</c:v>
                </c:pt>
                <c:pt idx="204">
                  <c:v>-15.826264185891223</c:v>
                </c:pt>
                <c:pt idx="205">
                  <c:v>-15.661975491223069</c:v>
                </c:pt>
                <c:pt idx="206">
                  <c:v>-15.501585192892374</c:v>
                </c:pt>
                <c:pt idx="207">
                  <c:v>-15.344972395379092</c:v>
                </c:pt>
                <c:pt idx="208">
                  <c:v>-15.192020624918596</c:v>
                </c:pt>
                <c:pt idx="209">
                  <c:v>-15.042617614078601</c:v>
                </c:pt>
                <c:pt idx="210">
                  <c:v>-14.896655096930319</c:v>
                </c:pt>
                <c:pt idx="211">
                  <c:v>-14.754028614106792</c:v>
                </c:pt>
                <c:pt idx="212">
                  <c:v>-14.61463732708366</c:v>
                </c:pt>
                <c:pt idx="213">
                  <c:v>-14.47838384105671</c:v>
                </c:pt>
                <c:pt idx="214">
                  <c:v>-14.345174035825758</c:v>
                </c:pt>
                <c:pt idx="215">
                  <c:v>-14.214916904126722</c:v>
                </c:pt>
                <c:pt idx="216">
                  <c:v>-14.087524396882889</c:v>
                </c:pt>
                <c:pt idx="217">
                  <c:v>-13.962911274872818</c:v>
                </c:pt>
                <c:pt idx="218">
                  <c:v>-13.840994966335835</c:v>
                </c:pt>
                <c:pt idx="219">
                  <c:v>-13.721695430057427</c:v>
                </c:pt>
                <c:pt idx="220">
                  <c:v>-13.60493502349528</c:v>
                </c:pt>
                <c:pt idx="221">
                  <c:v>-13.490638375523247</c:v>
                </c:pt>
                <c:pt idx="222">
                  <c:v>-13.37873226338445</c:v>
                </c:pt>
                <c:pt idx="223">
                  <c:v>-13.269145493456596</c:v>
                </c:pt>
                <c:pt idx="224">
                  <c:v>-13.161808785442233</c:v>
                </c:pt>
                <c:pt idx="225">
                  <c:v>-13.056654659604106</c:v>
                </c:pt>
                <c:pt idx="226">
                  <c:v>-12.953617326671072</c:v>
                </c:pt>
                <c:pt idx="227">
                  <c:v>-12.852632580043082</c:v>
                </c:pt>
                <c:pt idx="228">
                  <c:v>-12.753637689924677</c:v>
                </c:pt>
                <c:pt idx="229">
                  <c:v>-12.656571299014827</c:v>
                </c:pt>
                <c:pt idx="230">
                  <c:v>-12.561373319377212</c:v>
                </c:pt>
                <c:pt idx="231">
                  <c:v>-12.467984830108646</c:v>
                </c:pt>
                <c:pt idx="232">
                  <c:v>-12.376347975414355</c:v>
                </c:pt>
                <c:pt idx="233">
                  <c:v>-12.286405862686976</c:v>
                </c:pt>
                <c:pt idx="234">
                  <c:v>-12.198102460171523</c:v>
                </c:pt>
                <c:pt idx="235">
                  <c:v>-12.111382493780317</c:v>
                </c:pt>
                <c:pt idx="236">
                  <c:v>-12.026191342600663</c:v>
                </c:pt>
                <c:pt idx="237">
                  <c:v>-11.942474932612546</c:v>
                </c:pt>
                <c:pt idx="238">
                  <c:v>-11.860179628104405</c:v>
                </c:pt>
                <c:pt idx="239">
                  <c:v>-11.77925212024093</c:v>
                </c:pt>
                <c:pt idx="240">
                  <c:v>-11.699639312198011</c:v>
                </c:pt>
                <c:pt idx="241">
                  <c:v>-11.621288200235472</c:v>
                </c:pt>
                <c:pt idx="242">
                  <c:v>-11.54414575002761</c:v>
                </c:pt>
                <c:pt idx="243">
                  <c:v>-11.46815876751433</c:v>
                </c:pt>
                <c:pt idx="244">
                  <c:v>-11.393273763470784</c:v>
                </c:pt>
                <c:pt idx="245">
                  <c:v>-11.319436810920168</c:v>
                </c:pt>
                <c:pt idx="246">
                  <c:v>-11.246593394431873</c:v>
                </c:pt>
                <c:pt idx="247">
                  <c:v>-11.174688250254173</c:v>
                </c:pt>
                <c:pt idx="248">
                  <c:v>-11.103665196126133</c:v>
                </c:pt>
                <c:pt idx="249">
                  <c:v>-11.033466949495873</c:v>
                </c:pt>
                <c:pt idx="250">
                  <c:v>-10.964034932740383</c:v>
                </c:pt>
                <c:pt idx="251">
                  <c:v>-10.895309063833865</c:v>
                </c:pt>
                <c:pt idx="252">
                  <c:v>-10.827227530745509</c:v>
                </c:pt>
                <c:pt idx="253">
                  <c:v>-10.759726547661217</c:v>
                </c:pt>
                <c:pt idx="254">
                  <c:v>-10.692740090915205</c:v>
                </c:pt>
                <c:pt idx="255">
                  <c:v>-10.626199612283866</c:v>
                </c:pt>
                <c:pt idx="256">
                  <c:v>-10.560033727032994</c:v>
                </c:pt>
                <c:pt idx="257">
                  <c:v>-10.494167873818007</c:v>
                </c:pt>
                <c:pt idx="258">
                  <c:v>-10.428523943211218</c:v>
                </c:pt>
                <c:pt idx="259">
                  <c:v>-10.363019871268085</c:v>
                </c:pt>
                <c:pt idx="260">
                  <c:v>-10.297569194141801</c:v>
                </c:pt>
                <c:pt idx="261">
                  <c:v>-10.232080559309333</c:v>
                </c:pt>
                <c:pt idx="262">
                  <c:v>-10.166457188479177</c:v>
                </c:pt>
                <c:pt idx="263">
                  <c:v>-10.100596286708413</c:v>
                </c:pt>
                <c:pt idx="264">
                  <c:v>-10.034388391662464</c:v>
                </c:pt>
                <c:pt idx="265">
                  <c:v>-9.9677166563040256</c:v>
                </c:pt>
                <c:pt idx="266">
                  <c:v>-9.9004560575986567</c:v>
                </c:pt>
                <c:pt idx="267">
                  <c:v>-9.8324725230769321</c:v>
                </c:pt>
                <c:pt idx="268">
                  <c:v>-9.763621966303436</c:v>
                </c:pt>
                <c:pt idx="269">
                  <c:v>-9.6937492214832695</c:v>
                </c:pt>
                <c:pt idx="270">
                  <c:v>-9.6226868666058376</c:v>
                </c:pt>
                <c:pt idx="271">
                  <c:v>-9.5502539237122921</c:v>
                </c:pt>
                <c:pt idx="272">
                  <c:v>-9.4762544241180287</c:v>
                </c:pt>
                <c:pt idx="273">
                  <c:v>-9.4004758257843832</c:v>
                </c:pt>
                <c:pt idx="274">
                  <c:v>-9.3226872695961163</c:v>
                </c:pt>
                <c:pt idx="275">
                  <c:v>-9.2426376611758769</c:v>
                </c:pt>
                <c:pt idx="276">
                  <c:v>-9.1600535652068924</c:v>
                </c:pt>
                <c:pt idx="277">
                  <c:v>-9.0746369002458387</c:v>
                </c:pt>
                <c:pt idx="278">
                  <c:v>-8.9860624239615348</c:v>
                </c:pt>
                <c:pt idx="279">
                  <c:v>-8.8939750019912136</c:v>
                </c:pt>
                <c:pt idx="280">
                  <c:v>-8.7979866586311317</c:v>
                </c:pt>
                <c:pt idx="281">
                  <c:v>-8.697673414974993</c:v>
                </c:pt>
                <c:pt idx="282">
                  <c:v>-8.5925719306486208</c:v>
                </c:pt>
                <c:pt idx="283">
                  <c:v>-8.4821759799261454</c:v>
                </c:pt>
                <c:pt idx="284">
                  <c:v>-8.365932812941983</c:v>
                </c:pt>
                <c:pt idx="285">
                  <c:v>-8.243239479374985</c:v>
                </c:pt>
                <c:pt idx="286">
                  <c:v>-8.11343922707443</c:v>
                </c:pt>
                <c:pt idx="287">
                  <c:v>-7.9758181335503986</c:v>
                </c:pt>
                <c:pt idx="288">
                  <c:v>-7.8296021861391285</c:v>
                </c:pt>
                <c:pt idx="289">
                  <c:v>-7.6739550990238046</c:v>
                </c:pt>
                <c:pt idx="290">
                  <c:v>-7.5079772438415251</c:v>
                </c:pt>
                <c:pt idx="291">
                  <c:v>-7.3307061761650729</c:v>
                </c:pt>
                <c:pt idx="292">
                  <c:v>-7.1411193618600706</c:v>
                </c:pt>
                <c:pt idx="293">
                  <c:v>-6.9381398414794777</c:v>
                </c:pt>
                <c:pt idx="294">
                  <c:v>-6.720645709317175</c:v>
                </c:pt>
                <c:pt idx="295">
                  <c:v>-6.4874844118911597</c:v>
                </c:pt>
                <c:pt idx="296">
                  <c:v>-6.2374929651116968</c:v>
                </c:pt>
                <c:pt idx="297">
                  <c:v>-5.9695252159496777</c:v>
                </c:pt>
                <c:pt idx="298">
                  <c:v>-5.6824871866253108</c:v>
                </c:pt>
                <c:pt idx="299">
                  <c:v>-5.3753812795202478</c:v>
                </c:pt>
                <c:pt idx="300">
                  <c:v>-5.0473596252358632</c:v>
                </c:pt>
                <c:pt idx="301">
                  <c:v>-4.697786065409054</c:v>
                </c:pt>
                <c:pt idx="302">
                  <c:v>-4.3263051409883859</c:v>
                </c:pt>
                <c:pt idx="303">
                  <c:v>-3.9329150218321161</c:v>
                </c:pt>
                <c:pt idx="304">
                  <c:v>-3.5180396639648981</c:v>
                </c:pt>
                <c:pt idx="305">
                  <c:v>-3.0825938264415664</c:v>
                </c:pt>
                <c:pt idx="306">
                  <c:v>-2.6280332488979994</c:v>
                </c:pt>
                <c:pt idx="307">
                  <c:v>-2.1563817005005026</c:v>
                </c:pt>
                <c:pt idx="308">
                  <c:v>-1.6702271847328929</c:v>
                </c:pt>
                <c:pt idx="309">
                  <c:v>-1.1726816209214928</c:v>
                </c:pt>
                <c:pt idx="310">
                  <c:v>-0.66730184505319268</c:v>
                </c:pt>
                <c:pt idx="311">
                  <c:v>-0.15797441288789446</c:v>
                </c:pt>
                <c:pt idx="312">
                  <c:v>0.35122831362166401</c:v>
                </c:pt>
                <c:pt idx="313">
                  <c:v>0.85620897281916497</c:v>
                </c:pt>
                <c:pt idx="314">
                  <c:v>1.3530083826563608</c:v>
                </c:pt>
                <c:pt idx="315">
                  <c:v>1.8379561800191362</c:v>
                </c:pt>
                <c:pt idx="316">
                  <c:v>2.3077960171731111</c:v>
                </c:pt>
                <c:pt idx="317">
                  <c:v>2.7597763310181467</c:v>
                </c:pt>
                <c:pt idx="318">
                  <c:v>3.1917026114106086</c:v>
                </c:pt>
                <c:pt idx="319">
                  <c:v>3.6019519560661695</c:v>
                </c:pt>
                <c:pt idx="320">
                  <c:v>3.9894546447618162</c:v>
                </c:pt>
                <c:pt idx="321">
                  <c:v>4.3536499940774283</c:v>
                </c:pt>
                <c:pt idx="322">
                  <c:v>4.6944247714991452</c:v>
                </c:pt>
                <c:pt idx="323">
                  <c:v>5.0120421811021689</c:v>
                </c:pt>
                <c:pt idx="324">
                  <c:v>5.3070682833886726</c:v>
                </c:pt>
                <c:pt idx="325">
                  <c:v>5.580301111521802</c:v>
                </c:pt>
                <c:pt idx="326">
                  <c:v>5.8327060589183048</c:v>
                </c:pt>
                <c:pt idx="327">
                  <c:v>6.0653595881909359</c:v>
                </c:pt>
                <c:pt idx="328">
                  <c:v>6.2794020813212503</c:v>
                </c:pt>
                <c:pt idx="329">
                  <c:v>6.4759997548228672</c:v>
                </c:pt>
                <c:pt idx="330">
                  <c:v>6.6563149791544598</c:v>
                </c:pt>
                <c:pt idx="331">
                  <c:v>6.8214840143821469</c:v>
                </c:pt>
                <c:pt idx="332">
                  <c:v>6.9726010396487741</c:v>
                </c:pt>
                <c:pt idx="333">
                  <c:v>7.1107073515325476</c:v>
                </c:pt>
                <c:pt idx="334">
                  <c:v>7.2367846853209343</c:v>
                </c:pt>
                <c:pt idx="335">
                  <c:v>7.3517517353316695</c:v>
                </c:pt>
                <c:pt idx="336">
                  <c:v>7.456463088969338</c:v>
                </c:pt>
                <c:pt idx="337">
                  <c:v>7.5517099270385053</c:v>
                </c:pt>
                <c:pt idx="338">
                  <c:v>7.638221969977228</c:v>
                </c:pt>
                <c:pt idx="339">
                  <c:v>7.7166702612302434</c:v>
                </c:pt>
                <c:pt idx="340">
                  <c:v>7.7876704733727378</c:v>
                </c:pt>
                <c:pt idx="341">
                  <c:v>7.8517865002591227</c:v>
                </c:pt>
                <c:pt idx="342">
                  <c:v>7.9095341609336582</c:v>
                </c:pt>
                <c:pt idx="343">
                  <c:v>7.9613848903122522</c:v>
                </c:pt>
                <c:pt idx="344">
                  <c:v>8.0077693298439048</c:v>
                </c:pt>
                <c:pt idx="345">
                  <c:v>8.0490807604951371</c:v>
                </c:pt>
                <c:pt idx="346">
                  <c:v>8.0856783422626375</c:v>
                </c:pt>
                <c:pt idx="347">
                  <c:v>8.117890140543075</c:v>
                </c:pt>
                <c:pt idx="348">
                  <c:v>8.1460159313505667</c:v>
                </c:pt>
                <c:pt idx="349">
                  <c:v>8.1703297856099404</c:v>
                </c:pt>
                <c:pt idx="350">
                  <c:v>8.1910824383967107</c:v>
                </c:pt>
                <c:pt idx="351">
                  <c:v>8.2085034526966751</c:v>
                </c:pt>
                <c:pt idx="352">
                  <c:v>8.2228031895270419</c:v>
                </c:pt>
                <c:pt idx="353">
                  <c:v>8.2341745974885097</c:v>
                </c:pt>
                <c:pt idx="354">
                  <c:v>8.2427948353014937</c:v>
                </c:pt>
                <c:pt idx="355">
                  <c:v>8.2488267408447324</c:v>
                </c:pt>
                <c:pt idx="356">
                  <c:v>8.2524201598281657</c:v>
                </c:pt>
                <c:pt idx="357">
                  <c:v>8.2537131466186331</c:v>
                </c:pt>
                <c:pt idx="358">
                  <c:v>8.2528330489867354</c:v>
                </c:pt>
                <c:pt idx="359">
                  <c:v>8.249897487721249</c:v>
                </c:pt>
                <c:pt idx="360">
                  <c:v>8.245015241209865</c:v>
                </c:pt>
                <c:pt idx="361">
                  <c:v>8.2382870442433287</c:v>
                </c:pt>
                <c:pt idx="362">
                  <c:v>8.2298063094856513</c:v>
                </c:pt>
                <c:pt idx="363">
                  <c:v>8.2196597792792154</c:v>
                </c:pt>
                <c:pt idx="364">
                  <c:v>8.2079281147287073</c:v>
                </c:pt>
                <c:pt idx="365">
                  <c:v>8.1946864283352561</c:v>
                </c:pt>
                <c:pt idx="366">
                  <c:v>8.1800047658336474</c:v>
                </c:pt>
                <c:pt idx="367">
                  <c:v>8.1639485423199325</c:v>
                </c:pt>
                <c:pt idx="368">
                  <c:v>8.1465789372424986</c:v>
                </c:pt>
                <c:pt idx="369">
                  <c:v>8.1279532523635716</c:v>
                </c:pt>
                <c:pt idx="370">
                  <c:v>8.1081252363773562</c:v>
                </c:pt>
                <c:pt idx="371">
                  <c:v>8.0871453794920338</c:v>
                </c:pt>
                <c:pt idx="372">
                  <c:v>8.0650611809419068</c:v>
                </c:pt>
                <c:pt idx="373">
                  <c:v>8.0419173920902409</c:v>
                </c:pt>
                <c:pt idx="374">
                  <c:v>8.0177562375092055</c:v>
                </c:pt>
                <c:pt idx="375">
                  <c:v>7.99261761617755</c:v>
                </c:pt>
                <c:pt idx="376">
                  <c:v>7.9665392847171486</c:v>
                </c:pt>
                <c:pt idx="377">
                  <c:v>7.9395570243926379</c:v>
                </c:pt>
                <c:pt idx="378">
                  <c:v>7.9117047934227687</c:v>
                </c:pt>
                <c:pt idx="379">
                  <c:v>7.8830148659946762</c:v>
                </c:pt>
                <c:pt idx="380">
                  <c:v>7.8535179592317572</c:v>
                </c:pt>
                <c:pt idx="381">
                  <c:v>7.8232433492400348</c:v>
                </c:pt>
                <c:pt idx="382">
                  <c:v>7.7922189772454704</c:v>
                </c:pt>
                <c:pt idx="383">
                  <c:v>7.7604715467339265</c:v>
                </c:pt>
                <c:pt idx="384">
                  <c:v>7.7280266124155306</c:v>
                </c:pt>
                <c:pt idx="385">
                  <c:v>7.6949086617544058</c:v>
                </c:pt>
                <c:pt idx="386">
                  <c:v>7.6611411897325246</c:v>
                </c:pt>
                <c:pt idx="387">
                  <c:v>7.6267467674516451</c:v>
                </c:pt>
                <c:pt idx="388">
                  <c:v>7.5917471051191647</c:v>
                </c:pt>
                <c:pt idx="389">
                  <c:v>7.5561631099116653</c:v>
                </c:pt>
                <c:pt idx="390">
                  <c:v>7.520014939162988</c:v>
                </c:pt>
                <c:pt idx="391">
                  <c:v>7.4833220492817238</c:v>
                </c:pt>
                <c:pt idx="392">
                  <c:v>7.4461032407651295</c:v>
                </c:pt>
                <c:pt idx="393">
                  <c:v>7.4083766996424476</c:v>
                </c:pt>
                <c:pt idx="394">
                  <c:v>7.3701600356499402</c:v>
                </c:pt>
                <c:pt idx="395">
                  <c:v>7.3314703174124745</c:v>
                </c:pt>
                <c:pt idx="396">
                  <c:v>7.2923241048813896</c:v>
                </c:pt>
                <c:pt idx="397">
                  <c:v>7.252737479256087</c:v>
                </c:pt>
                <c:pt idx="398">
                  <c:v>7.2127260705964451</c:v>
                </c:pt>
                <c:pt idx="399">
                  <c:v>7.1723050833148196</c:v>
                </c:pt>
                <c:pt idx="400">
                  <c:v>7.1314893197198055</c:v>
                </c:pt>
                <c:pt idx="401">
                  <c:v>7.0902932017689739</c:v>
                </c:pt>
                <c:pt idx="402">
                  <c:v>7.0487307911741874</c:v>
                </c:pt>
                <c:pt idx="403">
                  <c:v>7.0068158079907761</c:v>
                </c:pt>
                <c:pt idx="404">
                  <c:v>6.9645616478106742</c:v>
                </c:pt>
                <c:pt idx="405">
                  <c:v>6.9219813976695246</c:v>
                </c:pt>
                <c:pt idx="406">
                  <c:v>6.8790878507684958</c:v>
                </c:pt>
                <c:pt idx="407">
                  <c:v>6.8358935201031867</c:v>
                </c:pt>
                <c:pt idx="408">
                  <c:v>6.7924106510844267</c:v>
                </c:pt>
                <c:pt idx="409">
                  <c:v>6.7486512332287303</c:v>
                </c:pt>
                <c:pt idx="410">
                  <c:v>6.7046270109899808</c:v>
                </c:pt>
                <c:pt idx="411">
                  <c:v>6.6603494937980638</c:v>
                </c:pt>
                <c:pt idx="412">
                  <c:v>6.6158299653648784</c:v>
                </c:pt>
                <c:pt idx="413">
                  <c:v>6.5710794923134825</c:v>
                </c:pt>
                <c:pt idx="414">
                  <c:v>6.5261089321816215</c:v>
                </c:pt>
                <c:pt idx="415">
                  <c:v>6.4809289408468747</c:v>
                </c:pt>
                <c:pt idx="416">
                  <c:v>6.4355499794170887</c:v>
                </c:pt>
                <c:pt idx="417">
                  <c:v>6.3899823206262614</c:v>
                </c:pt>
                <c:pt idx="418">
                  <c:v>6.3442360547730772</c:v>
                </c:pt>
                <c:pt idx="419">
                  <c:v>6.2983210952363429</c:v>
                </c:pt>
                <c:pt idx="420">
                  <c:v>6.2522471835991427</c:v>
                </c:pt>
                <c:pt idx="421">
                  <c:v>6.2060238944109241</c:v>
                </c:pt>
                <c:pt idx="422">
                  <c:v>6.1596606396147839</c:v>
                </c:pt>
                <c:pt idx="423">
                  <c:v>6.11316667266499</c:v>
                </c:pt>
                <c:pt idx="424">
                  <c:v>6.0665510923580594</c:v>
                </c:pt>
                <c:pt idx="425">
                  <c:v>6.0198228463989283</c:v>
                </c:pt>
                <c:pt idx="426">
                  <c:v>5.9729907347222397</c:v>
                </c:pt>
                <c:pt idx="427">
                  <c:v>5.92606341258724</c:v>
                </c:pt>
                <c:pt idx="428">
                  <c:v>5.8790493934635206</c:v>
                </c:pt>
                <c:pt idx="429">
                  <c:v>5.8319570517235526</c:v>
                </c:pt>
                <c:pt idx="430">
                  <c:v>5.7847946251567945</c:v>
                </c:pt>
                <c:pt idx="431">
                  <c:v>5.7375702173192096</c:v>
                </c:pt>
                <c:pt idx="432">
                  <c:v>5.6902917997308817</c:v>
                </c:pt>
                <c:pt idx="433">
                  <c:v>5.6429672139336731</c:v>
                </c:pt>
                <c:pt idx="434">
                  <c:v>5.5956041734199218</c:v>
                </c:pt>
                <c:pt idx="435">
                  <c:v>5.5482102654424548</c:v>
                </c:pt>
                <c:pt idx="436">
                  <c:v>5.5007929527154475</c:v>
                </c:pt>
                <c:pt idx="437">
                  <c:v>5.4533595750149679</c:v>
                </c:pt>
                <c:pt idx="438">
                  <c:v>5.4059173506875213</c:v>
                </c:pt>
                <c:pt idx="439">
                  <c:v>5.3584733780741765</c:v>
                </c:pt>
                <c:pt idx="440">
                  <c:v>5.3110346368574719</c:v>
                </c:pt>
                <c:pt idx="441">
                  <c:v>5.2636079893376948</c:v>
                </c:pt>
                <c:pt idx="442">
                  <c:v>5.216200181644699</c:v>
                </c:pt>
                <c:pt idx="443">
                  <c:v>5.1688178448910334</c:v>
                </c:pt>
                <c:pt idx="444">
                  <c:v>5.1214674962716664</c:v>
                </c:pt>
                <c:pt idx="445">
                  <c:v>5.0741555401152718</c:v>
                </c:pt>
                <c:pt idx="446">
                  <c:v>5.0268882688917014</c:v>
                </c:pt>
                <c:pt idx="447">
                  <c:v>4.9796718641799043</c:v>
                </c:pt>
                <c:pt idx="448">
                  <c:v>4.9325123976002443</c:v>
                </c:pt>
                <c:pt idx="449">
                  <c:v>4.8854158317149654</c:v>
                </c:pt>
                <c:pt idx="450">
                  <c:v>4.8383880209001378</c:v>
                </c:pt>
                <c:pt idx="451">
                  <c:v>4.7914347121923422</c:v>
                </c:pt>
                <c:pt idx="452">
                  <c:v>4.7445615461129771</c:v>
                </c:pt>
                <c:pt idx="453">
                  <c:v>4.6977740574729054</c:v>
                </c:pt>
                <c:pt idx="454">
                  <c:v>4.6510776761600185</c:v>
                </c:pt>
                <c:pt idx="455">
                  <c:v>4.6044777279119842</c:v>
                </c:pt>
                <c:pt idx="456">
                  <c:v>4.5579794350763541</c:v>
                </c:pt>
                <c:pt idx="457">
                  <c:v>4.5115879173600115</c:v>
                </c:pt>
                <c:pt idx="458">
                  <c:v>4.4653081925697622</c:v>
                </c:pt>
                <c:pt idx="459">
                  <c:v>4.4191451773458184</c:v>
                </c:pt>
                <c:pt idx="460">
                  <c:v>4.3731036878896212</c:v>
                </c:pt>
                <c:pt idx="461">
                  <c:v>4.3271884406874896</c:v>
                </c:pt>
                <c:pt idx="462">
                  <c:v>4.2814040532313644</c:v>
                </c:pt>
                <c:pt idx="463">
                  <c:v>4.2357550447378092</c:v>
                </c:pt>
                <c:pt idx="464">
                  <c:v>4.1902458368663993</c:v>
                </c:pt>
                <c:pt idx="465">
                  <c:v>4.1448807544383861</c:v>
                </c:pt>
                <c:pt idx="466">
                  <c:v>4.0996640261566268</c:v>
                </c:pt>
                <c:pt idx="467">
                  <c:v>4.0545997853274693</c:v>
                </c:pt>
                <c:pt idx="468">
                  <c:v>4.0096920705853973</c:v>
                </c:pt>
                <c:pt idx="469">
                  <c:v>3.9649448266210019</c:v>
                </c:pt>
                <c:pt idx="470">
                  <c:v>3.9203619049129088</c:v>
                </c:pt>
                <c:pt idx="471">
                  <c:v>3.875947064464075</c:v>
                </c:pt>
                <c:pt idx="472">
                  <c:v>3.8317039725430098</c:v>
                </c:pt>
                <c:pt idx="473">
                  <c:v>3.7876362054301822</c:v>
                </c:pt>
                <c:pt idx="474">
                  <c:v>3.7437472491700072</c:v>
                </c:pt>
                <c:pt idx="475">
                  <c:v>3.7000405003286465</c:v>
                </c:pt>
                <c:pt idx="476">
                  <c:v>3.656519266757873</c:v>
                </c:pt>
                <c:pt idx="477">
                  <c:v>3.6131867683651775</c:v>
                </c:pt>
                <c:pt idx="478">
                  <c:v>3.5700461378901869</c:v>
                </c:pt>
                <c:pt idx="479">
                  <c:v>3.5271004216876278</c:v>
                </c:pt>
                <c:pt idx="480">
                  <c:v>3.4843525805167248</c:v>
                </c:pt>
                <c:pt idx="481">
                  <c:v>3.4418054903372166</c:v>
                </c:pt>
                <c:pt idx="482">
                  <c:v>3.3994619431118736</c:v>
                </c:pt>
                <c:pt idx="483">
                  <c:v>3.3573246476155694</c:v>
                </c:pt>
                <c:pt idx="484">
                  <c:v>3.315396230250748</c:v>
                </c:pt>
                <c:pt idx="485">
                  <c:v>3.2736792358692988</c:v>
                </c:pt>
                <c:pt idx="486">
                  <c:v>3.2321761286006598</c:v>
                </c:pt>
                <c:pt idx="487">
                  <c:v>3.1908892926860819</c:v>
                </c:pt>
                <c:pt idx="488">
                  <c:v>3.1498210333187959</c:v>
                </c:pt>
                <c:pt idx="489">
                  <c:v>3.1089735774900644</c:v>
                </c:pt>
                <c:pt idx="490">
                  <c:v>3.0683490748408131</c:v>
                </c:pt>
                <c:pt idx="491">
                  <c:v>3.0279495985186671</c:v>
                </c:pt>
                <c:pt idx="492">
                  <c:v>2.9877771460402176</c:v>
                </c:pt>
                <c:pt idx="493">
                  <c:v>2.9478336401582705</c:v>
                </c:pt>
                <c:pt idx="494">
                  <c:v>2.9081209297338244</c:v>
                </c:pt>
                <c:pt idx="495">
                  <c:v>2.8686407906125364</c:v>
                </c:pt>
                <c:pt idx="496">
                  <c:v>2.829394926505433</c:v>
                </c:pt>
                <c:pt idx="497">
                  <c:v>2.7903849698735996</c:v>
                </c:pt>
                <c:pt idx="498">
                  <c:v>2.7516124828165687</c:v>
                </c:pt>
                <c:pt idx="499">
                  <c:v>2.7130789579640915</c:v>
                </c:pt>
                <c:pt idx="500">
                  <c:v>2.6747858193711336</c:v>
                </c:pt>
                <c:pt idx="501">
                  <c:v>2.6367344234156223</c:v>
                </c:pt>
                <c:pt idx="502">
                  <c:v>2.5989260596988304</c:v>
                </c:pt>
                <c:pt idx="503">
                  <c:v>2.5613619519479895</c:v>
                </c:pt>
                <c:pt idx="504">
                  <c:v>2.5240432589208952</c:v>
                </c:pt>
                <c:pt idx="505">
                  <c:v>2.4869710753121383</c:v>
                </c:pt>
                <c:pt idx="506">
                  <c:v>2.4501464326607856</c:v>
                </c:pt>
                <c:pt idx="507">
                  <c:v>2.4135703002590851</c:v>
                </c:pt>
                <c:pt idx="508">
                  <c:v>2.3772435860619412</c:v>
                </c:pt>
                <c:pt idx="509">
                  <c:v>2.3411671375968766</c:v>
                </c:pt>
                <c:pt idx="510">
                  <c:v>2.3053417428742389</c:v>
                </c:pt>
                <c:pt idx="511">
                  <c:v>2.2697681312971687</c:v>
                </c:pt>
                <c:pt idx="512">
                  <c:v>2.2344469745712816</c:v>
                </c:pt>
                <c:pt idx="513">
                  <c:v>2.1993788876135794</c:v>
                </c:pt>
                <c:pt idx="514">
                  <c:v>2.1645644294603965</c:v>
                </c:pt>
                <c:pt idx="515">
                  <c:v>2.1300041041740858</c:v>
                </c:pt>
                <c:pt idx="516">
                  <c:v>2.0956983617481493</c:v>
                </c:pt>
                <c:pt idx="517">
                  <c:v>2.0616475990105227</c:v>
                </c:pt>
                <c:pt idx="518">
                  <c:v>2.0278521605247795</c:v>
                </c:pt>
                <c:pt idx="519">
                  <c:v>1.9943123394889524</c:v>
                </c:pt>
                <c:pt idx="520">
                  <c:v>1.9610283786317204</c:v>
                </c:pt>
                <c:pt idx="521">
                  <c:v>1.9280004711057073</c:v>
                </c:pt>
                <c:pt idx="522">
                  <c:v>1.8952287613776191</c:v>
                </c:pt>
                <c:pt idx="523">
                  <c:v>1.8627133461149734</c:v>
                </c:pt>
                <c:pt idx="524">
                  <c:v>1.8304542750692159</c:v>
                </c:pt>
                <c:pt idx="525">
                  <c:v>1.7984515519549245</c:v>
                </c:pt>
                <c:pt idx="526">
                  <c:v>1.7667051353248855</c:v>
                </c:pt>
                <c:pt idx="527">
                  <c:v>1.7352149394408762</c:v>
                </c:pt>
                <c:pt idx="528">
                  <c:v>1.703980835139836</c:v>
                </c:pt>
                <c:pt idx="529">
                  <c:v>1.6730026506952225</c:v>
                </c:pt>
                <c:pt idx="530">
                  <c:v>1.6422801726735017</c:v>
                </c:pt>
                <c:pt idx="531">
                  <c:v>1.6118131467852699</c:v>
                </c:pt>
                <c:pt idx="532">
                  <c:v>1.6117829900882317</c:v>
                </c:pt>
                <c:pt idx="533">
                  <c:v>1.611752833643699</c:v>
                </c:pt>
                <c:pt idx="534">
                  <c:v>1.6117226774516791</c:v>
                </c:pt>
                <c:pt idx="535">
                  <c:v>1.6116925215121682</c:v>
                </c:pt>
                <c:pt idx="536">
                  <c:v>1.6116623658251648</c:v>
                </c:pt>
                <c:pt idx="537">
                  <c:v>1.6116322103906704</c:v>
                </c:pt>
                <c:pt idx="538">
                  <c:v>1.6116020552086834</c:v>
                </c:pt>
                <c:pt idx="539">
                  <c:v>1.6115719002792037</c:v>
                </c:pt>
                <c:pt idx="540">
                  <c:v>1.6115417456022296</c:v>
                </c:pt>
                <c:pt idx="541">
                  <c:v>1.6115115911777593</c:v>
                </c:pt>
                <c:pt idx="542">
                  <c:v>1.6114814370058017</c:v>
                </c:pt>
                <c:pt idx="543">
                  <c:v>1.6114512830863479</c:v>
                </c:pt>
                <c:pt idx="544">
                  <c:v>1.6114211294194032</c:v>
                </c:pt>
                <c:pt idx="545">
                  <c:v>1.611390976004957</c:v>
                </c:pt>
                <c:pt idx="546">
                  <c:v>1.6113608228430163</c:v>
                </c:pt>
                <c:pt idx="547">
                  <c:v>1.6113306699335883</c:v>
                </c:pt>
                <c:pt idx="548">
                  <c:v>1.6113005172766517</c:v>
                </c:pt>
                <c:pt idx="549">
                  <c:v>1.6112703648722331</c:v>
                </c:pt>
                <c:pt idx="550">
                  <c:v>1.6112402127203111</c:v>
                </c:pt>
                <c:pt idx="551">
                  <c:v>1.6112100608208966</c:v>
                </c:pt>
                <c:pt idx="552">
                  <c:v>1.611179909173984</c:v>
                </c:pt>
                <c:pt idx="553">
                  <c:v>1.6111497577795717</c:v>
                </c:pt>
                <c:pt idx="554">
                  <c:v>1.6111196066376667</c:v>
                </c:pt>
                <c:pt idx="555">
                  <c:v>1.6110894557482638</c:v>
                </c:pt>
                <c:pt idx="556">
                  <c:v>1.6110593051113593</c:v>
                </c:pt>
                <c:pt idx="557">
                  <c:v>1.611029154726964</c:v>
                </c:pt>
                <c:pt idx="558">
                  <c:v>1.61099900459506</c:v>
                </c:pt>
                <c:pt idx="559">
                  <c:v>1.6109688547156633</c:v>
                </c:pt>
                <c:pt idx="560">
                  <c:v>1.6109387050887598</c:v>
                </c:pt>
                <c:pt idx="561">
                  <c:v>1.610908555714369</c:v>
                </c:pt>
                <c:pt idx="562">
                  <c:v>1.6108784065924677</c:v>
                </c:pt>
                <c:pt idx="563">
                  <c:v>1.6108482577230703</c:v>
                </c:pt>
                <c:pt idx="564">
                  <c:v>1.6108181091061731</c:v>
                </c:pt>
                <c:pt idx="565">
                  <c:v>1.6107879607417761</c:v>
                </c:pt>
                <c:pt idx="566">
                  <c:v>1.6107578126298741</c:v>
                </c:pt>
                <c:pt idx="567">
                  <c:v>1.6107276647704722</c:v>
                </c:pt>
                <c:pt idx="568">
                  <c:v>1.6106975171635671</c:v>
                </c:pt>
                <c:pt idx="569">
                  <c:v>1.6106673698091658</c:v>
                </c:pt>
                <c:pt idx="570">
                  <c:v>1.6106372227072576</c:v>
                </c:pt>
                <c:pt idx="571">
                  <c:v>1.6106070758578444</c:v>
                </c:pt>
                <c:pt idx="572">
                  <c:v>1.6105769292609331</c:v>
                </c:pt>
                <c:pt idx="573">
                  <c:v>1.610546782916515</c:v>
                </c:pt>
                <c:pt idx="574">
                  <c:v>1.6105166368245936</c:v>
                </c:pt>
                <c:pt idx="575">
                  <c:v>1.6104864909851688</c:v>
                </c:pt>
                <c:pt idx="576">
                  <c:v>1.6104563453982426</c:v>
                </c:pt>
                <c:pt idx="577">
                  <c:v>1.6104262000638094</c:v>
                </c:pt>
                <c:pt idx="578">
                  <c:v>1.6103960549818712</c:v>
                </c:pt>
                <c:pt idx="579">
                  <c:v>1.6103659101524226</c:v>
                </c:pt>
                <c:pt idx="580">
                  <c:v>1.6103357655754724</c:v>
                </c:pt>
                <c:pt idx="581">
                  <c:v>1.6103056212510154</c:v>
                </c:pt>
                <c:pt idx="582">
                  <c:v>1.6102754771790533</c:v>
                </c:pt>
                <c:pt idx="583">
                  <c:v>1.610245333359579</c:v>
                </c:pt>
                <c:pt idx="584">
                  <c:v>1.6102151897926067</c:v>
                </c:pt>
                <c:pt idx="585">
                  <c:v>1.6101850464781275</c:v>
                </c:pt>
                <c:pt idx="586">
                  <c:v>1.6101549034161327</c:v>
                </c:pt>
                <c:pt idx="587">
                  <c:v>1.6101247606066362</c:v>
                </c:pt>
                <c:pt idx="588">
                  <c:v>1.6100946180496241</c:v>
                </c:pt>
                <c:pt idx="589">
                  <c:v>1.6100644757451121</c:v>
                </c:pt>
                <c:pt idx="590">
                  <c:v>1.610034333693088</c:v>
                </c:pt>
                <c:pt idx="591">
                  <c:v>1.6100041918935499</c:v>
                </c:pt>
                <c:pt idx="592">
                  <c:v>1.6099740503465085</c:v>
                </c:pt>
                <c:pt idx="593">
                  <c:v>1.6099439090519621</c:v>
                </c:pt>
                <c:pt idx="594">
                  <c:v>1.6099137680098998</c:v>
                </c:pt>
                <c:pt idx="595">
                  <c:v>1.6098836272203236</c:v>
                </c:pt>
                <c:pt idx="596">
                  <c:v>1.6098534866832388</c:v>
                </c:pt>
                <c:pt idx="597">
                  <c:v>1.6098233463986436</c:v>
                </c:pt>
                <c:pt idx="598">
                  <c:v>1.6097932063665361</c:v>
                </c:pt>
                <c:pt idx="599">
                  <c:v>1.60976306658692</c:v>
                </c:pt>
                <c:pt idx="600">
                  <c:v>1.6097329270597864</c:v>
                </c:pt>
                <c:pt idx="601">
                  <c:v>1.6097027877851424</c:v>
                </c:pt>
                <c:pt idx="602">
                  <c:v>1.6096726487629898</c:v>
                </c:pt>
                <c:pt idx="603">
                  <c:v>1.6096425099933196</c:v>
                </c:pt>
                <c:pt idx="604">
                  <c:v>1.6096123714761372</c:v>
                </c:pt>
                <c:pt idx="605">
                  <c:v>1.6095822332114409</c:v>
                </c:pt>
                <c:pt idx="606">
                  <c:v>1.6095520951992288</c:v>
                </c:pt>
                <c:pt idx="607">
                  <c:v>1.6095219574395063</c:v>
                </c:pt>
                <c:pt idx="608">
                  <c:v>1.6094918199322681</c:v>
                </c:pt>
                <c:pt idx="609">
                  <c:v>1.6094616826775141</c:v>
                </c:pt>
                <c:pt idx="610">
                  <c:v>1.6094315456752408</c:v>
                </c:pt>
                <c:pt idx="611">
                  <c:v>1.6094014089254571</c:v>
                </c:pt>
                <c:pt idx="612">
                  <c:v>1.6093712724281541</c:v>
                </c:pt>
                <c:pt idx="613">
                  <c:v>1.6093411361833372</c:v>
                </c:pt>
                <c:pt idx="614">
                  <c:v>1.6093110001909974</c:v>
                </c:pt>
                <c:pt idx="615">
                  <c:v>1.6092808644511507</c:v>
                </c:pt>
                <c:pt idx="616">
                  <c:v>1.609250728963783</c:v>
                </c:pt>
                <c:pt idx="617">
                  <c:v>1.6092205937288977</c:v>
                </c:pt>
                <c:pt idx="618">
                  <c:v>1.6091904587464949</c:v>
                </c:pt>
                <c:pt idx="619">
                  <c:v>1.6091603240165728</c:v>
                </c:pt>
                <c:pt idx="620">
                  <c:v>1.6091301895391297</c:v>
                </c:pt>
                <c:pt idx="621">
                  <c:v>1.6091000553141743</c:v>
                </c:pt>
                <c:pt idx="622">
                  <c:v>1.6090699213416908</c:v>
                </c:pt>
                <c:pt idx="623">
                  <c:v>1.6090397876216951</c:v>
                </c:pt>
                <c:pt idx="624">
                  <c:v>1.6090096541541801</c:v>
                </c:pt>
                <c:pt idx="625">
                  <c:v>1.6089795209391458</c:v>
                </c:pt>
                <c:pt idx="626">
                  <c:v>1.6089493879765886</c:v>
                </c:pt>
                <c:pt idx="627">
                  <c:v>1.6089192552665104</c:v>
                </c:pt>
                <c:pt idx="628">
                  <c:v>1.6088891228089057</c:v>
                </c:pt>
                <c:pt idx="629">
                  <c:v>1.6088589906037871</c:v>
                </c:pt>
                <c:pt idx="630">
                  <c:v>1.6088288586511457</c:v>
                </c:pt>
                <c:pt idx="631">
                  <c:v>1.6087987269509778</c:v>
                </c:pt>
                <c:pt idx="632">
                  <c:v>1.6087685955032978</c:v>
                </c:pt>
                <c:pt idx="633">
                  <c:v>1.608738464308086</c:v>
                </c:pt>
                <c:pt idx="634">
                  <c:v>1.6087083333653514</c:v>
                </c:pt>
                <c:pt idx="635">
                  <c:v>1.6086782026750885</c:v>
                </c:pt>
                <c:pt idx="636">
                  <c:v>1.60864807223731</c:v>
                </c:pt>
                <c:pt idx="637">
                  <c:v>1.6086179420520068</c:v>
                </c:pt>
                <c:pt idx="638">
                  <c:v>1.6085878121191755</c:v>
                </c:pt>
                <c:pt idx="639">
                  <c:v>1.6085576824388212</c:v>
                </c:pt>
                <c:pt idx="640">
                  <c:v>1.6085275530109424</c:v>
                </c:pt>
                <c:pt idx="641">
                  <c:v>1.6084974238355407</c:v>
                </c:pt>
                <c:pt idx="642">
                  <c:v>1.6084672949126073</c:v>
                </c:pt>
                <c:pt idx="643">
                  <c:v>1.6084371662421564</c:v>
                </c:pt>
                <c:pt idx="644">
                  <c:v>1.6084070378241737</c:v>
                </c:pt>
                <c:pt idx="645">
                  <c:v>1.6083769096586646</c:v>
                </c:pt>
                <c:pt idx="646">
                  <c:v>1.6083467817456292</c:v>
                </c:pt>
                <c:pt idx="647">
                  <c:v>1.6083166540850655</c:v>
                </c:pt>
                <c:pt idx="648">
                  <c:v>1.6082865266769719</c:v>
                </c:pt>
                <c:pt idx="649">
                  <c:v>1.6082563995213572</c:v>
                </c:pt>
                <c:pt idx="650">
                  <c:v>1.6082262726182073</c:v>
                </c:pt>
                <c:pt idx="651">
                  <c:v>1.6081961459675362</c:v>
                </c:pt>
                <c:pt idx="652">
                  <c:v>1.6081660195693264</c:v>
                </c:pt>
                <c:pt idx="653">
                  <c:v>1.608135893423599</c:v>
                </c:pt>
                <c:pt idx="654">
                  <c:v>1.6081057675303327</c:v>
                </c:pt>
                <c:pt idx="655">
                  <c:v>1.6080756418895401</c:v>
                </c:pt>
                <c:pt idx="656">
                  <c:v>1.6080455165012193</c:v>
                </c:pt>
                <c:pt idx="657">
                  <c:v>1.6080153913653668</c:v>
                </c:pt>
                <c:pt idx="658">
                  <c:v>1.6079852664819807</c:v>
                </c:pt>
                <c:pt idx="659">
                  <c:v>1.6079551418510647</c:v>
                </c:pt>
                <c:pt idx="660">
                  <c:v>1.6079250174726205</c:v>
                </c:pt>
                <c:pt idx="661">
                  <c:v>1.6078948933466428</c:v>
                </c:pt>
                <c:pt idx="662">
                  <c:v>1.6078647694731316</c:v>
                </c:pt>
                <c:pt idx="663">
                  <c:v>1.6078346458520887</c:v>
                </c:pt>
                <c:pt idx="664">
                  <c:v>1.6078045224835158</c:v>
                </c:pt>
                <c:pt idx="665">
                  <c:v>1.6077743993674041</c:v>
                </c:pt>
                <c:pt idx="666">
                  <c:v>1.6077442765037624</c:v>
                </c:pt>
                <c:pt idx="667">
                  <c:v>1.6077141538925837</c:v>
                </c:pt>
                <c:pt idx="668">
                  <c:v>1.6076840315338767</c:v>
                </c:pt>
                <c:pt idx="669">
                  <c:v>1.6076539094276363</c:v>
                </c:pt>
                <c:pt idx="670">
                  <c:v>1.6076237875738606</c:v>
                </c:pt>
                <c:pt idx="671">
                  <c:v>1.6075936659725443</c:v>
                </c:pt>
                <c:pt idx="672">
                  <c:v>1.6075635446236962</c:v>
                </c:pt>
                <c:pt idx="673">
                  <c:v>1.6075334235273075</c:v>
                </c:pt>
                <c:pt idx="674">
                  <c:v>1.6075033026833907</c:v>
                </c:pt>
                <c:pt idx="675">
                  <c:v>1.607473182091935</c:v>
                </c:pt>
                <c:pt idx="676">
                  <c:v>1.6074430617529387</c:v>
                </c:pt>
                <c:pt idx="677">
                  <c:v>1.6074129416664107</c:v>
                </c:pt>
                <c:pt idx="678">
                  <c:v>1.6073828218323385</c:v>
                </c:pt>
                <c:pt idx="679">
                  <c:v>1.6073527022507346</c:v>
                </c:pt>
                <c:pt idx="680">
                  <c:v>1.6073225829215882</c:v>
                </c:pt>
                <c:pt idx="681">
                  <c:v>1.6072924638449066</c:v>
                </c:pt>
                <c:pt idx="682">
                  <c:v>1.607262345020688</c:v>
                </c:pt>
                <c:pt idx="683">
                  <c:v>1.6072322264489323</c:v>
                </c:pt>
                <c:pt idx="684">
                  <c:v>1.6072021081296342</c:v>
                </c:pt>
                <c:pt idx="685">
                  <c:v>1.6071719900627937</c:v>
                </c:pt>
                <c:pt idx="686">
                  <c:v>1.6071418722484108</c:v>
                </c:pt>
                <c:pt idx="687">
                  <c:v>1.6071117546864926</c:v>
                </c:pt>
                <c:pt idx="688">
                  <c:v>1.6070816373770409</c:v>
                </c:pt>
                <c:pt idx="689">
                  <c:v>1.607051520320038</c:v>
                </c:pt>
                <c:pt idx="690">
                  <c:v>1.6070214035154944</c:v>
                </c:pt>
                <c:pt idx="691">
                  <c:v>1.6069912869634084</c:v>
                </c:pt>
                <c:pt idx="692">
                  <c:v>1.6069611706637872</c:v>
                </c:pt>
                <c:pt idx="693">
                  <c:v>1.6069310546166182</c:v>
                </c:pt>
                <c:pt idx="694">
                  <c:v>1.6069009388219104</c:v>
                </c:pt>
                <c:pt idx="695">
                  <c:v>1.6068708232796602</c:v>
                </c:pt>
                <c:pt idx="696">
                  <c:v>1.6068407079898623</c:v>
                </c:pt>
                <c:pt idx="697">
                  <c:v>1.6068105929525291</c:v>
                </c:pt>
                <c:pt idx="698">
                  <c:v>1.60678047816765</c:v>
                </c:pt>
                <c:pt idx="699">
                  <c:v>1.6067503636352196</c:v>
                </c:pt>
                <c:pt idx="700">
                  <c:v>1.6067202493552504</c:v>
                </c:pt>
                <c:pt idx="701">
                  <c:v>1.6066901353277387</c:v>
                </c:pt>
                <c:pt idx="702">
                  <c:v>1.6066600215526723</c:v>
                </c:pt>
                <c:pt idx="703">
                  <c:v>1.606629908030067</c:v>
                </c:pt>
                <c:pt idx="704">
                  <c:v>1.6065997947599175</c:v>
                </c:pt>
                <c:pt idx="705">
                  <c:v>1.606569681742215</c:v>
                </c:pt>
                <c:pt idx="706">
                  <c:v>1.6065395689769719</c:v>
                </c:pt>
                <c:pt idx="707">
                  <c:v>1.6065094564641829</c:v>
                </c:pt>
                <c:pt idx="708">
                  <c:v>1.6064793442038425</c:v>
                </c:pt>
                <c:pt idx="709">
                  <c:v>1.6064492321959634</c:v>
                </c:pt>
                <c:pt idx="710">
                  <c:v>1.6064191204405258</c:v>
                </c:pt>
                <c:pt idx="711">
                  <c:v>1.6063890089375494</c:v>
                </c:pt>
                <c:pt idx="712">
                  <c:v>1.6063588976870165</c:v>
                </c:pt>
                <c:pt idx="713">
                  <c:v>1.6063287866889375</c:v>
                </c:pt>
                <c:pt idx="714">
                  <c:v>1.6062986759433144</c:v>
                </c:pt>
                <c:pt idx="715">
                  <c:v>1.6062685654501401</c:v>
                </c:pt>
                <c:pt idx="716">
                  <c:v>1.6062384552094144</c:v>
                </c:pt>
                <c:pt idx="717">
                  <c:v>1.6062083452211375</c:v>
                </c:pt>
                <c:pt idx="718">
                  <c:v>1.6061782354853111</c:v>
                </c:pt>
                <c:pt idx="719">
                  <c:v>1.6061481260019317</c:v>
                </c:pt>
                <c:pt idx="720">
                  <c:v>1.6061180167710045</c:v>
                </c:pt>
                <c:pt idx="721">
                  <c:v>1.6060879077925225</c:v>
                </c:pt>
                <c:pt idx="722">
                  <c:v>1.6060577990664928</c:v>
                </c:pt>
                <c:pt idx="723">
                  <c:v>1.6060276905929118</c:v>
                </c:pt>
                <c:pt idx="724">
                  <c:v>1.605997582371776</c:v>
                </c:pt>
                <c:pt idx="725">
                  <c:v>1.605967474403089</c:v>
                </c:pt>
                <c:pt idx="726">
                  <c:v>1.6059373666868471</c:v>
                </c:pt>
                <c:pt idx="727">
                  <c:v>1.6059072592230521</c:v>
                </c:pt>
                <c:pt idx="728">
                  <c:v>1.6058771520117041</c:v>
                </c:pt>
                <c:pt idx="729">
                  <c:v>1.6058470450528031</c:v>
                </c:pt>
                <c:pt idx="730">
                  <c:v>1.6058169383463508</c:v>
                </c:pt>
                <c:pt idx="731">
                  <c:v>1.6057868318923418</c:v>
                </c:pt>
                <c:pt idx="732">
                  <c:v>1.6057567256907728</c:v>
                </c:pt>
                <c:pt idx="733">
                  <c:v>1.6057266197416524</c:v>
                </c:pt>
                <c:pt idx="734">
                  <c:v>1.605696514044979</c:v>
                </c:pt>
                <c:pt idx="735">
                  <c:v>1.6056664086007491</c:v>
                </c:pt>
                <c:pt idx="736">
                  <c:v>1.6056363034089536</c:v>
                </c:pt>
                <c:pt idx="737">
                  <c:v>1.6056061984696122</c:v>
                </c:pt>
                <c:pt idx="738">
                  <c:v>1.6055760937827195</c:v>
                </c:pt>
                <c:pt idx="739">
                  <c:v>1.605545989348256</c:v>
                </c:pt>
                <c:pt idx="740">
                  <c:v>1.6055158851662377</c:v>
                </c:pt>
                <c:pt idx="741">
                  <c:v>1.6054857812366663</c:v>
                </c:pt>
                <c:pt idx="742">
                  <c:v>1.6054556775595366</c:v>
                </c:pt>
                <c:pt idx="743">
                  <c:v>1.6054255741348431</c:v>
                </c:pt>
                <c:pt idx="744">
                  <c:v>1.6053954709625931</c:v>
                </c:pt>
                <c:pt idx="745">
                  <c:v>1.60536536804279</c:v>
                </c:pt>
                <c:pt idx="746">
                  <c:v>1.6053352653754231</c:v>
                </c:pt>
                <c:pt idx="747">
                  <c:v>1.6053051629604997</c:v>
                </c:pt>
                <c:pt idx="748">
                  <c:v>1.6052750607980109</c:v>
                </c:pt>
                <c:pt idx="749">
                  <c:v>1.6052449588879636</c:v>
                </c:pt>
                <c:pt idx="750">
                  <c:v>1.6052148572303562</c:v>
                </c:pt>
                <c:pt idx="751">
                  <c:v>1.6051847558251851</c:v>
                </c:pt>
                <c:pt idx="752">
                  <c:v>1.6051546546724573</c:v>
                </c:pt>
                <c:pt idx="753">
                  <c:v>1.6051245537721641</c:v>
                </c:pt>
                <c:pt idx="754">
                  <c:v>1.6050944531243072</c:v>
                </c:pt>
                <c:pt idx="755">
                  <c:v>1.6050643527288901</c:v>
                </c:pt>
                <c:pt idx="756">
                  <c:v>1.6050342525859111</c:v>
                </c:pt>
                <c:pt idx="757">
                  <c:v>1.6050041526953702</c:v>
                </c:pt>
                <c:pt idx="758">
                  <c:v>1.604974053057262</c:v>
                </c:pt>
                <c:pt idx="759">
                  <c:v>1.6049439536715919</c:v>
                </c:pt>
                <c:pt idx="760">
                  <c:v>1.6049138545383563</c:v>
                </c:pt>
                <c:pt idx="761">
                  <c:v>1.6048837556575588</c:v>
                </c:pt>
                <c:pt idx="762">
                  <c:v>1.6048536570291958</c:v>
                </c:pt>
                <c:pt idx="763">
                  <c:v>1.6048235586532709</c:v>
                </c:pt>
                <c:pt idx="764">
                  <c:v>1.6047934605297769</c:v>
                </c:pt>
                <c:pt idx="765">
                  <c:v>1.6047633626587139</c:v>
                </c:pt>
                <c:pt idx="766">
                  <c:v>1.6047332650400907</c:v>
                </c:pt>
                <c:pt idx="767">
                  <c:v>1.6047031676738985</c:v>
                </c:pt>
                <c:pt idx="768">
                  <c:v>1.6046730705601391</c:v>
                </c:pt>
                <c:pt idx="769">
                  <c:v>1.6046429736988159</c:v>
                </c:pt>
                <c:pt idx="770">
                  <c:v>1.6046128770899202</c:v>
                </c:pt>
                <c:pt idx="771">
                  <c:v>1.6045827807334589</c:v>
                </c:pt>
                <c:pt idx="772">
                  <c:v>1.6045526846294358</c:v>
                </c:pt>
                <c:pt idx="773">
                  <c:v>1.6045225887778347</c:v>
                </c:pt>
                <c:pt idx="774">
                  <c:v>1.6044924931786717</c:v>
                </c:pt>
                <c:pt idx="775">
                  <c:v>1.6044623978319397</c:v>
                </c:pt>
                <c:pt idx="776">
                  <c:v>1.6044323027376404</c:v>
                </c:pt>
                <c:pt idx="777">
                  <c:v>1.6044022078957632</c:v>
                </c:pt>
                <c:pt idx="778">
                  <c:v>1.6043721133063222</c:v>
                </c:pt>
                <c:pt idx="779">
                  <c:v>1.6043420189693105</c:v>
                </c:pt>
                <c:pt idx="780">
                  <c:v>1.604311924884728</c:v>
                </c:pt>
                <c:pt idx="781">
                  <c:v>1.6042818310525711</c:v>
                </c:pt>
                <c:pt idx="782">
                  <c:v>1.6042517374728469</c:v>
                </c:pt>
                <c:pt idx="783">
                  <c:v>1.6042216441455501</c:v>
                </c:pt>
                <c:pt idx="784">
                  <c:v>1.604191551070679</c:v>
                </c:pt>
                <c:pt idx="785">
                  <c:v>1.6041614582482406</c:v>
                </c:pt>
                <c:pt idx="786">
                  <c:v>1.6041313656782261</c:v>
                </c:pt>
                <c:pt idx="787">
                  <c:v>1.604101273360639</c:v>
                </c:pt>
                <c:pt idx="788">
                  <c:v>1.6040711812954811</c:v>
                </c:pt>
                <c:pt idx="789">
                  <c:v>1.604041089482747</c:v>
                </c:pt>
                <c:pt idx="790">
                  <c:v>1.6040109979224422</c:v>
                </c:pt>
                <c:pt idx="791">
                  <c:v>1.6039809066145594</c:v>
                </c:pt>
                <c:pt idx="792">
                  <c:v>1.6039508155590987</c:v>
                </c:pt>
                <c:pt idx="793">
                  <c:v>1.6039207247560725</c:v>
                </c:pt>
                <c:pt idx="794">
                  <c:v>1.6038906342054613</c:v>
                </c:pt>
                <c:pt idx="795">
                  <c:v>1.6038605439072775</c:v>
                </c:pt>
                <c:pt idx="796">
                  <c:v>1.6038304538615211</c:v>
                </c:pt>
                <c:pt idx="797">
                  <c:v>1.6038003640681868</c:v>
                </c:pt>
                <c:pt idx="798">
                  <c:v>1.6037702745272782</c:v>
                </c:pt>
                <c:pt idx="799">
                  <c:v>1.6037401852387863</c:v>
                </c:pt>
                <c:pt idx="800">
                  <c:v>1.6037100962027218</c:v>
                </c:pt>
                <c:pt idx="801">
                  <c:v>1.6036800074190811</c:v>
                </c:pt>
                <c:pt idx="802">
                  <c:v>1.6036499188878608</c:v>
                </c:pt>
                <c:pt idx="803">
                  <c:v>1.6036198306090625</c:v>
                </c:pt>
                <c:pt idx="804">
                  <c:v>1.6035897425826846</c:v>
                </c:pt>
                <c:pt idx="805">
                  <c:v>1.6035596548087305</c:v>
                </c:pt>
                <c:pt idx="806">
                  <c:v>1.6035295672871968</c:v>
                </c:pt>
                <c:pt idx="807">
                  <c:v>1.6034994800180797</c:v>
                </c:pt>
                <c:pt idx="808">
                  <c:v>1.603469393001383</c:v>
                </c:pt>
                <c:pt idx="809">
                  <c:v>1.6034393062371155</c:v>
                </c:pt>
                <c:pt idx="810">
                  <c:v>1.6034092197252612</c:v>
                </c:pt>
                <c:pt idx="811">
                  <c:v>1.6033791334658289</c:v>
                </c:pt>
                <c:pt idx="812">
                  <c:v>1.6033490474588081</c:v>
                </c:pt>
                <c:pt idx="813">
                  <c:v>1.6033189617042165</c:v>
                </c:pt>
                <c:pt idx="814">
                  <c:v>1.6032888762020399</c:v>
                </c:pt>
                <c:pt idx="815">
                  <c:v>1.6032587909522764</c:v>
                </c:pt>
                <c:pt idx="816">
                  <c:v>1.6032287059549262</c:v>
                </c:pt>
                <c:pt idx="817">
                  <c:v>1.6031986212100051</c:v>
                </c:pt>
                <c:pt idx="818">
                  <c:v>1.6031685367174937</c:v>
                </c:pt>
                <c:pt idx="819">
                  <c:v>1.6031384524774026</c:v>
                </c:pt>
                <c:pt idx="820">
                  <c:v>1.6031083684897247</c:v>
                </c:pt>
                <c:pt idx="821">
                  <c:v>1.60307828475446</c:v>
                </c:pt>
                <c:pt idx="822">
                  <c:v>1.6030482012716156</c:v>
                </c:pt>
                <c:pt idx="823">
                  <c:v>1.6030181180411827</c:v>
                </c:pt>
                <c:pt idx="824">
                  <c:v>1.60298803506317</c:v>
                </c:pt>
                <c:pt idx="825">
                  <c:v>1.602957952337567</c:v>
                </c:pt>
                <c:pt idx="826">
                  <c:v>1.602927869864379</c:v>
                </c:pt>
                <c:pt idx="827">
                  <c:v>1.6028977876436112</c:v>
                </c:pt>
                <c:pt idx="828">
                  <c:v>1.6028677056752461</c:v>
                </c:pt>
                <c:pt idx="829">
                  <c:v>1.602837623959303</c:v>
                </c:pt>
                <c:pt idx="830">
                  <c:v>1.6028075424957713</c:v>
                </c:pt>
                <c:pt idx="831">
                  <c:v>1.6027774612846528</c:v>
                </c:pt>
                <c:pt idx="832">
                  <c:v>1.6027473803259458</c:v>
                </c:pt>
                <c:pt idx="833">
                  <c:v>1.6027172996196484</c:v>
                </c:pt>
                <c:pt idx="834">
                  <c:v>1.6026872191657606</c:v>
                </c:pt>
                <c:pt idx="835">
                  <c:v>1.6026571389642896</c:v>
                </c:pt>
                <c:pt idx="836">
                  <c:v>1.6026270590152265</c:v>
                </c:pt>
                <c:pt idx="837">
                  <c:v>1.6025969793185784</c:v>
                </c:pt>
                <c:pt idx="838">
                  <c:v>1.6025668998743363</c:v>
                </c:pt>
                <c:pt idx="839">
                  <c:v>1.6025368206825039</c:v>
                </c:pt>
                <c:pt idx="840">
                  <c:v>1.6025067417430776</c:v>
                </c:pt>
                <c:pt idx="841">
                  <c:v>1.6024766630560698</c:v>
                </c:pt>
                <c:pt idx="842">
                  <c:v>1.6024465846214628</c:v>
                </c:pt>
                <c:pt idx="843">
                  <c:v>1.6024165064392726</c:v>
                </c:pt>
                <c:pt idx="844">
                  <c:v>1.6023864285094813</c:v>
                </c:pt>
                <c:pt idx="845">
                  <c:v>1.6023563508321015</c:v>
                </c:pt>
                <c:pt idx="846">
                  <c:v>1.6023262734071331</c:v>
                </c:pt>
                <c:pt idx="847">
                  <c:v>1.6022961962345672</c:v>
                </c:pt>
                <c:pt idx="848">
                  <c:v>1.6022661193144092</c:v>
                </c:pt>
                <c:pt idx="849">
                  <c:v>1.6022360426466644</c:v>
                </c:pt>
                <c:pt idx="850">
                  <c:v>1.6022059662313204</c:v>
                </c:pt>
                <c:pt idx="851">
                  <c:v>1.6021758900683807</c:v>
                </c:pt>
                <c:pt idx="852">
                  <c:v>1.6021458141578488</c:v>
                </c:pt>
                <c:pt idx="853">
                  <c:v>1.6021157384997231</c:v>
                </c:pt>
                <c:pt idx="854">
                  <c:v>1.6020856630940017</c:v>
                </c:pt>
                <c:pt idx="855">
                  <c:v>1.602055587940681</c:v>
                </c:pt>
                <c:pt idx="856">
                  <c:v>1.6020255130397683</c:v>
                </c:pt>
                <c:pt idx="857">
                  <c:v>1.6019954383912562</c:v>
                </c:pt>
                <c:pt idx="858">
                  <c:v>1.6019653639951503</c:v>
                </c:pt>
                <c:pt idx="859">
                  <c:v>1.6019352898514487</c:v>
                </c:pt>
                <c:pt idx="860">
                  <c:v>1.601905215960155</c:v>
                </c:pt>
                <c:pt idx="861">
                  <c:v>1.6018751423212567</c:v>
                </c:pt>
                <c:pt idx="862">
                  <c:v>1.6018450689347592</c:v>
                </c:pt>
                <c:pt idx="863">
                  <c:v>1.6018149958006678</c:v>
                </c:pt>
                <c:pt idx="864">
                  <c:v>1.6017849229189771</c:v>
                </c:pt>
                <c:pt idx="865">
                  <c:v>1.6017548502896855</c:v>
                </c:pt>
                <c:pt idx="866">
                  <c:v>1.6017247779127999</c:v>
                </c:pt>
                <c:pt idx="867">
                  <c:v>1.6016947057883169</c:v>
                </c:pt>
                <c:pt idx="868">
                  <c:v>1.6016646339162293</c:v>
                </c:pt>
                <c:pt idx="869">
                  <c:v>1.6016345622965424</c:v>
                </c:pt>
                <c:pt idx="870">
                  <c:v>1.6016044909292528</c:v>
                </c:pt>
                <c:pt idx="871">
                  <c:v>1.6015744198143711</c:v>
                </c:pt>
                <c:pt idx="872">
                  <c:v>1.6015443489518795</c:v>
                </c:pt>
                <c:pt idx="873">
                  <c:v>1.6015142783417868</c:v>
                </c:pt>
                <c:pt idx="874">
                  <c:v>1.6014842079840967</c:v>
                </c:pt>
                <c:pt idx="875">
                  <c:v>1.6014541378788056</c:v>
                </c:pt>
                <c:pt idx="876">
                  <c:v>1.60142406802591</c:v>
                </c:pt>
                <c:pt idx="877">
                  <c:v>1.6013939984254062</c:v>
                </c:pt>
                <c:pt idx="878">
                  <c:v>1.6013639290773085</c:v>
                </c:pt>
                <c:pt idx="879">
                  <c:v>1.6013338599816027</c:v>
                </c:pt>
                <c:pt idx="880">
                  <c:v>1.6013037911382888</c:v>
                </c:pt>
                <c:pt idx="881">
                  <c:v>1.6012737225473792</c:v>
                </c:pt>
                <c:pt idx="882">
                  <c:v>1.6012436542088633</c:v>
                </c:pt>
                <c:pt idx="883">
                  <c:v>1.6012135861227392</c:v>
                </c:pt>
                <c:pt idx="884">
                  <c:v>1.6011835182890142</c:v>
                </c:pt>
                <c:pt idx="885">
                  <c:v>1.6011534507076828</c:v>
                </c:pt>
                <c:pt idx="886">
                  <c:v>1.6011233833787468</c:v>
                </c:pt>
                <c:pt idx="887">
                  <c:v>1.6010933163021992</c:v>
                </c:pt>
                <c:pt idx="888">
                  <c:v>1.6010632494780523</c:v>
                </c:pt>
                <c:pt idx="889">
                  <c:v>1.6010331829062938</c:v>
                </c:pt>
                <c:pt idx="890">
                  <c:v>1.6010031165869325</c:v>
                </c:pt>
                <c:pt idx="891">
                  <c:v>1.6009730505199613</c:v>
                </c:pt>
                <c:pt idx="892">
                  <c:v>1.6009429847053838</c:v>
                </c:pt>
                <c:pt idx="893">
                  <c:v>1.6009129191431981</c:v>
                </c:pt>
                <c:pt idx="894">
                  <c:v>1.6008828538334043</c:v>
                </c:pt>
                <c:pt idx="895">
                  <c:v>1.6008527887760007</c:v>
                </c:pt>
                <c:pt idx="896">
                  <c:v>1.6008227239709925</c:v>
                </c:pt>
                <c:pt idx="897">
                  <c:v>1.6007926594183743</c:v>
                </c:pt>
                <c:pt idx="898">
                  <c:v>1.6007625951181446</c:v>
                </c:pt>
                <c:pt idx="899">
                  <c:v>1.6007325310702996</c:v>
                </c:pt>
                <c:pt idx="900">
                  <c:v>1.6007024672748447</c:v>
                </c:pt>
                <c:pt idx="901">
                  <c:v>1.6006724037317905</c:v>
                </c:pt>
                <c:pt idx="902">
                  <c:v>1.6006423404411194</c:v>
                </c:pt>
                <c:pt idx="903">
                  <c:v>1.6006122774028313</c:v>
                </c:pt>
                <c:pt idx="904">
                  <c:v>1.6005822146169333</c:v>
                </c:pt>
                <c:pt idx="905">
                  <c:v>1.6005521520834325</c:v>
                </c:pt>
                <c:pt idx="906">
                  <c:v>1.6005220898023147</c:v>
                </c:pt>
                <c:pt idx="907">
                  <c:v>1.6004920277735781</c:v>
                </c:pt>
                <c:pt idx="908">
                  <c:v>1.6004619659972334</c:v>
                </c:pt>
                <c:pt idx="909">
                  <c:v>1.6004319044732735</c:v>
                </c:pt>
                <c:pt idx="910">
                  <c:v>1.6004018432017002</c:v>
                </c:pt>
                <c:pt idx="911">
                  <c:v>1.600371782182517</c:v>
                </c:pt>
                <c:pt idx="912">
                  <c:v>1.6003417214157167</c:v>
                </c:pt>
                <c:pt idx="913">
                  <c:v>1.6003116609012995</c:v>
                </c:pt>
                <c:pt idx="914">
                  <c:v>1.6002816006392671</c:v>
                </c:pt>
                <c:pt idx="915">
                  <c:v>1.6002515406296283</c:v>
                </c:pt>
                <c:pt idx="916">
                  <c:v>1.6002214808723636</c:v>
                </c:pt>
                <c:pt idx="917">
                  <c:v>1.6001914213674908</c:v>
                </c:pt>
                <c:pt idx="918">
                  <c:v>1.6001613621149939</c:v>
                </c:pt>
                <c:pt idx="919">
                  <c:v>1.6001313031148854</c:v>
                </c:pt>
                <c:pt idx="920">
                  <c:v>1.6001012443671581</c:v>
                </c:pt>
                <c:pt idx="921">
                  <c:v>1.6000711858718137</c:v>
                </c:pt>
                <c:pt idx="922">
                  <c:v>1.6000411276288542</c:v>
                </c:pt>
                <c:pt idx="923">
                  <c:v>1.6000110696382777</c:v>
                </c:pt>
                <c:pt idx="924">
                  <c:v>1.5999810119000752</c:v>
                </c:pt>
                <c:pt idx="925">
                  <c:v>1.5999509544142576</c:v>
                </c:pt>
                <c:pt idx="926">
                  <c:v>1.5999208971808301</c:v>
                </c:pt>
                <c:pt idx="927">
                  <c:v>1.5998908401997731</c:v>
                </c:pt>
                <c:pt idx="928">
                  <c:v>1.5998607834710992</c:v>
                </c:pt>
                <c:pt idx="929">
                  <c:v>1.59983072699481</c:v>
                </c:pt>
                <c:pt idx="930">
                  <c:v>1.5998006707708896</c:v>
                </c:pt>
                <c:pt idx="931">
                  <c:v>1.5997706147993576</c:v>
                </c:pt>
                <c:pt idx="932">
                  <c:v>1.5997405590802032</c:v>
                </c:pt>
                <c:pt idx="933">
                  <c:v>1.5997105036134247</c:v>
                </c:pt>
                <c:pt idx="934">
                  <c:v>1.5996804483990257</c:v>
                </c:pt>
                <c:pt idx="935">
                  <c:v>1.5996503934370061</c:v>
                </c:pt>
                <c:pt idx="936">
                  <c:v>1.5996203387273624</c:v>
                </c:pt>
                <c:pt idx="937">
                  <c:v>1.5995902842700946</c:v>
                </c:pt>
                <c:pt idx="938">
                  <c:v>1.5995602300652081</c:v>
                </c:pt>
                <c:pt idx="939">
                  <c:v>1.5995301761126939</c:v>
                </c:pt>
                <c:pt idx="940">
                  <c:v>1.5995001224125591</c:v>
                </c:pt>
                <c:pt idx="941">
                  <c:v>1.5994700689648056</c:v>
                </c:pt>
                <c:pt idx="942">
                  <c:v>1.5994400157694209</c:v>
                </c:pt>
                <c:pt idx="943">
                  <c:v>1.5994099628264085</c:v>
                </c:pt>
                <c:pt idx="944">
                  <c:v>1.5993799101357773</c:v>
                </c:pt>
                <c:pt idx="945">
                  <c:v>1.5993498576975149</c:v>
                </c:pt>
                <c:pt idx="946">
                  <c:v>1.5993198055116284</c:v>
                </c:pt>
                <c:pt idx="947">
                  <c:v>1.5992897535781214</c:v>
                </c:pt>
                <c:pt idx="948">
                  <c:v>1.599259701896985</c:v>
                </c:pt>
                <c:pt idx="949">
                  <c:v>1.5992296504682191</c:v>
                </c:pt>
                <c:pt idx="950">
                  <c:v>1.5991995992918291</c:v>
                </c:pt>
                <c:pt idx="951">
                  <c:v>1.599169548367815</c:v>
                </c:pt>
                <c:pt idx="952">
                  <c:v>1.5991394976961679</c:v>
                </c:pt>
                <c:pt idx="953">
                  <c:v>1.5991094472768932</c:v>
                </c:pt>
                <c:pt idx="954">
                  <c:v>1.5990793971099908</c:v>
                </c:pt>
                <c:pt idx="955">
                  <c:v>1.5990493471954625</c:v>
                </c:pt>
                <c:pt idx="956">
                  <c:v>1.5990192975333049</c:v>
                </c:pt>
                <c:pt idx="957">
                  <c:v>1.5989892481235124</c:v>
                </c:pt>
                <c:pt idx="958">
                  <c:v>1.5989591989660958</c:v>
                </c:pt>
                <c:pt idx="959">
                  <c:v>1.5989291500610463</c:v>
                </c:pt>
                <c:pt idx="960">
                  <c:v>1.5988991014083709</c:v>
                </c:pt>
                <c:pt idx="961">
                  <c:v>1.5988690530080572</c:v>
                </c:pt>
                <c:pt idx="962">
                  <c:v>1.5988390048601122</c:v>
                </c:pt>
                <c:pt idx="963">
                  <c:v>1.5988089569645414</c:v>
                </c:pt>
                <c:pt idx="964">
                  <c:v>1.5987789093213394</c:v>
                </c:pt>
                <c:pt idx="965">
                  <c:v>1.5987488619305061</c:v>
                </c:pt>
                <c:pt idx="966">
                  <c:v>1.5987188147920381</c:v>
                </c:pt>
                <c:pt idx="967">
                  <c:v>1.5986887679059425</c:v>
                </c:pt>
                <c:pt idx="968">
                  <c:v>1.5986587212722032</c:v>
                </c:pt>
                <c:pt idx="969">
                  <c:v>1.5986286748908363</c:v>
                </c:pt>
                <c:pt idx="970">
                  <c:v>1.5985986287618399</c:v>
                </c:pt>
                <c:pt idx="971">
                  <c:v>1.5985685828851999</c:v>
                </c:pt>
                <c:pt idx="972">
                  <c:v>1.598538537260934</c:v>
                </c:pt>
                <c:pt idx="973">
                  <c:v>1.5985084918890298</c:v>
                </c:pt>
                <c:pt idx="974">
                  <c:v>1.5984784467694926</c:v>
                </c:pt>
                <c:pt idx="975">
                  <c:v>1.5984484019023188</c:v>
                </c:pt>
                <c:pt idx="976">
                  <c:v>1.5984183572875104</c:v>
                </c:pt>
                <c:pt idx="977">
                  <c:v>1.5983883129250618</c:v>
                </c:pt>
                <c:pt idx="978">
                  <c:v>1.5983582688149784</c:v>
                </c:pt>
                <c:pt idx="979">
                  <c:v>1.5983282249572639</c:v>
                </c:pt>
                <c:pt idx="980">
                  <c:v>1.5982981813519093</c:v>
                </c:pt>
                <c:pt idx="981">
                  <c:v>1.5982681379989181</c:v>
                </c:pt>
                <c:pt idx="982">
                  <c:v>1.5982380948982815</c:v>
                </c:pt>
                <c:pt idx="983">
                  <c:v>1.5982080520500173</c:v>
                </c:pt>
                <c:pt idx="984">
                  <c:v>1.5981780094541094</c:v>
                </c:pt>
                <c:pt idx="985">
                  <c:v>1.5981479671105632</c:v>
                </c:pt>
                <c:pt idx="986">
                  <c:v>1.5981179250193769</c:v>
                </c:pt>
                <c:pt idx="987">
                  <c:v>1.5980878831805558</c:v>
                </c:pt>
                <c:pt idx="988">
                  <c:v>1.5980578415940929</c:v>
                </c:pt>
                <c:pt idx="989">
                  <c:v>1.5980278002599881</c:v>
                </c:pt>
                <c:pt idx="990">
                  <c:v>1.5979977591782433</c:v>
                </c:pt>
                <c:pt idx="991">
                  <c:v>1.5979677183488548</c:v>
                </c:pt>
                <c:pt idx="992">
                  <c:v>1.5979376777718315</c:v>
                </c:pt>
                <c:pt idx="993">
                  <c:v>1.5979076374471628</c:v>
                </c:pt>
                <c:pt idx="994">
                  <c:v>1.5978775973748558</c:v>
                </c:pt>
                <c:pt idx="995">
                  <c:v>1.5978475575549034</c:v>
                </c:pt>
                <c:pt idx="996">
                  <c:v>1.5978175179873091</c:v>
                </c:pt>
                <c:pt idx="997">
                  <c:v>1.5977874786720712</c:v>
                </c:pt>
                <c:pt idx="998">
                  <c:v>1.5977574396091896</c:v>
                </c:pt>
                <c:pt idx="999">
                  <c:v>1.5977274007986697</c:v>
                </c:pt>
                <c:pt idx="1000">
                  <c:v>1.5976973622405062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5DE-97F3-E9553C4910C3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8.1827011582253046</c:v>
                </c:pt>
                <c:pt idx="2">
                  <c:v>38.245488270951185</c:v>
                </c:pt>
                <c:pt idx="3">
                  <c:v>50.856869173995136</c:v>
                </c:pt>
                <c:pt idx="4">
                  <c:v>46.017072088443363</c:v>
                </c:pt>
                <c:pt idx="5">
                  <c:v>43.481931829976439</c:v>
                </c:pt>
                <c:pt idx="6">
                  <c:v>43.251555884372799</c:v>
                </c:pt>
                <c:pt idx="7">
                  <c:v>43.021173225827546</c:v>
                </c:pt>
                <c:pt idx="8">
                  <c:v>42.790786392520424</c:v>
                </c:pt>
                <c:pt idx="9">
                  <c:v>42.560397908683463</c:v>
                </c:pt>
                <c:pt idx="10">
                  <c:v>42.330010284543874</c:v>
                </c:pt>
                <c:pt idx="11">
                  <c:v>42.099626016268417</c:v>
                </c:pt>
                <c:pt idx="12">
                  <c:v>41.869247585908681</c:v>
                </c:pt>
                <c:pt idx="13">
                  <c:v>41.638877461348045</c:v>
                </c:pt>
                <c:pt idx="14">
                  <c:v>41.408518096249608</c:v>
                </c:pt>
                <c:pt idx="15">
                  <c:v>41.178171930005547</c:v>
                </c:pt>
                <c:pt idx="16">
                  <c:v>40.947841387687639</c:v>
                </c:pt>
                <c:pt idx="17">
                  <c:v>40.717528879999087</c:v>
                </c:pt>
                <c:pt idx="18">
                  <c:v>40.487236803227553</c:v>
                </c:pt>
                <c:pt idx="19">
                  <c:v>40.256967539199522</c:v>
                </c:pt>
                <c:pt idx="20">
                  <c:v>40.026723455235782</c:v>
                </c:pt>
                <c:pt idx="21">
                  <c:v>39.796506904108192</c:v>
                </c:pt>
                <c:pt idx="22">
                  <c:v>39.566320223997714</c:v>
                </c:pt>
                <c:pt idx="23">
                  <c:v>39.336165738453609</c:v>
                </c:pt>
                <c:pt idx="24">
                  <c:v>39.106045756353907</c:v>
                </c:pt>
                <c:pt idx="25">
                  <c:v>38.875962571866978</c:v>
                </c:pt>
                <c:pt idx="26">
                  <c:v>38.64591846441445</c:v>
                </c:pt>
                <c:pt idx="27">
                  <c:v>38.415915698635224</c:v>
                </c:pt>
                <c:pt idx="28">
                  <c:v>38.185956524350736</c:v>
                </c:pt>
                <c:pt idx="29">
                  <c:v>37.95604317653131</c:v>
                </c:pt>
                <c:pt idx="30">
                  <c:v>37.726177875263886</c:v>
                </c:pt>
                <c:pt idx="31">
                  <c:v>37.496362825720695</c:v>
                </c:pt>
                <c:pt idx="32">
                  <c:v>37.266600218129241</c:v>
                </c:pt>
                <c:pt idx="33">
                  <c:v>37.036892227743401</c:v>
                </c:pt>
                <c:pt idx="34">
                  <c:v>36.80724101481573</c:v>
                </c:pt>
                <c:pt idx="35">
                  <c:v>36.577648724570793</c:v>
                </c:pt>
                <c:pt idx="36">
                  <c:v>36.348117487179799</c:v>
                </c:pt>
                <c:pt idx="37">
                  <c:v>36.118649417736201</c:v>
                </c:pt>
                <c:pt idx="38">
                  <c:v>35.88924661623259</c:v>
                </c:pt>
                <c:pt idx="39">
                  <c:v>35.659911167538574</c:v>
                </c:pt>
                <c:pt idx="40">
                  <c:v>35.430645141379863</c:v>
                </c:pt>
                <c:pt idx="41">
                  <c:v>35.201450592318366</c:v>
                </c:pt>
                <c:pt idx="42">
                  <c:v>34.97232955973351</c:v>
                </c:pt>
                <c:pt idx="43">
                  <c:v>34.743284067804574</c:v>
                </c:pt>
                <c:pt idx="44">
                  <c:v>34.514316125494069</c:v>
                </c:pt>
                <c:pt idx="45">
                  <c:v>34.285427726532284</c:v>
                </c:pt>
                <c:pt idx="46">
                  <c:v>34.05662084940289</c:v>
                </c:pt>
                <c:pt idx="47">
                  <c:v>33.827897457329513</c:v>
                </c:pt>
                <c:pt idx="48">
                  <c:v>33.599259498263514</c:v>
                </c:pt>
                <c:pt idx="49">
                  <c:v>33.37070890487265</c:v>
                </c:pt>
                <c:pt idx="50">
                  <c:v>33.142247594530929</c:v>
                </c:pt>
                <c:pt idx="51">
                  <c:v>32.913877469309355</c:v>
                </c:pt>
                <c:pt idx="52">
                  <c:v>32.685600415967883</c:v>
                </c:pt>
                <c:pt idx="53">
                  <c:v>32.457418305948103</c:v>
                </c:pt>
                <c:pt idx="54">
                  <c:v>32.229332995367294</c:v>
                </c:pt>
                <c:pt idx="55">
                  <c:v>32.001346325013166</c:v>
                </c:pt>
                <c:pt idx="56">
                  <c:v>31.773460120339749</c:v>
                </c:pt>
                <c:pt idx="57">
                  <c:v>31.545676191464288</c:v>
                </c:pt>
                <c:pt idx="58">
                  <c:v>31.317996333164984</c:v>
                </c:pt>
                <c:pt idx="59">
                  <c:v>31.090422324879881</c:v>
                </c:pt>
                <c:pt idx="60">
                  <c:v>30.862955930706512</c:v>
                </c:pt>
                <c:pt idx="61">
                  <c:v>30.635598899402698</c:v>
                </c:pt>
                <c:pt idx="62">
                  <c:v>30.408352964388147</c:v>
                </c:pt>
                <c:pt idx="63">
                  <c:v>29.981359223870651</c:v>
                </c:pt>
                <c:pt idx="64">
                  <c:v>29.354702132891202</c:v>
                </c:pt>
                <c:pt idx="65">
                  <c:v>28.728412456572944</c:v>
                </c:pt>
                <c:pt idx="66">
                  <c:v>28.102498630534342</c:v>
                </c:pt>
                <c:pt idx="67">
                  <c:v>27.293796833822757</c:v>
                </c:pt>
                <c:pt idx="68">
                  <c:v>26.302405065453328</c:v>
                </c:pt>
                <c:pt idx="69">
                  <c:v>24.985913540962848</c:v>
                </c:pt>
                <c:pt idx="70">
                  <c:v>23.344522490124643</c:v>
                </c:pt>
                <c:pt idx="71">
                  <c:v>21.704316983518488</c:v>
                </c:pt>
                <c:pt idx="72">
                  <c:v>20.06534305787844</c:v>
                </c:pt>
                <c:pt idx="73">
                  <c:v>18.427646014859064</c:v>
                </c:pt>
                <c:pt idx="74">
                  <c:v>16.791270419633001</c:v>
                </c:pt>
                <c:pt idx="75">
                  <c:v>15.156260099674132</c:v>
                </c:pt>
                <c:pt idx="76">
                  <c:v>13.522658143723829</c:v>
                </c:pt>
                <c:pt idx="77">
                  <c:v>11.890506900937982</c:v>
                </c:pt>
                <c:pt idx="78">
                  <c:v>10.259847980212022</c:v>
                </c:pt>
                <c:pt idx="79">
                  <c:v>8.6307222496814191</c:v>
                </c:pt>
                <c:pt idx="80">
                  <c:v>7.0031698363950881</c:v>
                </c:pt>
                <c:pt idx="81">
                  <c:v>5.764598589062615</c:v>
                </c:pt>
                <c:pt idx="82">
                  <c:v>4.9146698058174438</c:v>
                </c:pt>
                <c:pt idx="83">
                  <c:v>4.0656043359365146</c:v>
                </c:pt>
                <c:pt idx="84">
                  <c:v>3.2174114319518039</c:v>
                </c:pt>
                <c:pt idx="85">
                  <c:v>2.3701001470369878</c:v>
                </c:pt>
                <c:pt idx="86">
                  <c:v>1.5236793355887412</c:v>
                </c:pt>
                <c:pt idx="87">
                  <c:v>0.67815765382747384</c:v>
                </c:pt>
                <c:pt idx="88">
                  <c:v>-0.16645643958297476</c:v>
                </c:pt>
                <c:pt idx="89">
                  <c:v>-0.88777529712527237</c:v>
                </c:pt>
                <c:pt idx="90">
                  <c:v>-1.4859241095332503</c:v>
                </c:pt>
                <c:pt idx="91">
                  <c:v>-2.0834196727985459</c:v>
                </c:pt>
                <c:pt idx="92">
                  <c:v>-2.6802587988791768</c:v>
                </c:pt>
                <c:pt idx="93">
                  <c:v>-3.2458396985615514</c:v>
                </c:pt>
                <c:pt idx="94">
                  <c:v>-3.7801939151917678</c:v>
                </c:pt>
                <c:pt idx="95">
                  <c:v>-4.3139538722187858</c:v>
                </c:pt>
                <c:pt idx="96">
                  <c:v>-4.8471175528759529</c:v>
                </c:pt>
                <c:pt idx="97">
                  <c:v>-5.2572785413376106</c:v>
                </c:pt>
                <c:pt idx="98">
                  <c:v>-5.5445773004888927</c:v>
                </c:pt>
                <c:pt idx="99">
                  <c:v>-5.8315638521283937</c:v>
                </c:pt>
                <c:pt idx="100">
                  <c:v>-6.1182383359202683</c:v>
                </c:pt>
                <c:pt idx="101">
                  <c:v>-6.4046009109280275</c:v>
                </c:pt>
                <c:pt idx="102">
                  <c:v>-6.6906517555022553</c:v>
                </c:pt>
                <c:pt idx="103">
                  <c:v>-6.9763910671683806</c:v>
                </c:pt>
                <c:pt idx="104">
                  <c:v>-7.2618190625146974</c:v>
                </c:pt>
                <c:pt idx="105">
                  <c:v>-7.5469359770805413</c:v>
                </c:pt>
                <c:pt idx="106">
                  <c:v>-7.8317420652446597</c:v>
                </c:pt>
                <c:pt idx="107">
                  <c:v>-8.1162376001137648</c:v>
                </c:pt>
                <c:pt idx="108">
                  <c:v>-8.4004228734113315</c:v>
                </c:pt>
                <c:pt idx="109">
                  <c:v>-8.5312802504156657</c:v>
                </c:pt>
                <c:pt idx="110">
                  <c:v>-8.5089949735682922</c:v>
                </c:pt>
                <c:pt idx="111">
                  <c:v>-8.4867694933002245</c:v>
                </c:pt>
                <c:pt idx="112">
                  <c:v>-8.4646036070499093</c:v>
                </c:pt>
                <c:pt idx="113">
                  <c:v>-8.4424971131382964</c:v>
                </c:pt>
                <c:pt idx="114">
                  <c:v>-8.4204498107642802</c:v>
                </c:pt>
                <c:pt idx="115">
                  <c:v>-8.3984615000001241</c:v>
                </c:pt>
                <c:pt idx="116">
                  <c:v>-8.376531981786874</c:v>
                </c:pt>
                <c:pt idx="117">
                  <c:v>-8.3546610579298886</c:v>
                </c:pt>
                <c:pt idx="118">
                  <c:v>-8.3328485310943137</c:v>
                </c:pt>
                <c:pt idx="119">
                  <c:v>-8.3110942048006446</c:v>
                </c:pt>
                <c:pt idx="120">
                  <c:v>-8.2893978834202535</c:v>
                </c:pt>
                <c:pt idx="121">
                  <c:v>-8.2677593721710316</c:v>
                </c:pt>
                <c:pt idx="122">
                  <c:v>-8.246178477112954</c:v>
                </c:pt>
                <c:pt idx="123">
                  <c:v>-8.2246550051437577</c:v>
                </c:pt>
                <c:pt idx="124">
                  <c:v>-8.2031887639945928</c:v>
                </c:pt>
                <c:pt idx="125">
                  <c:v>-8.1817795622257439</c:v>
                </c:pt>
                <c:pt idx="126">
                  <c:v>-8.1604272092223145</c:v>
                </c:pt>
                <c:pt idx="127">
                  <c:v>-8.1391315151900177</c:v>
                </c:pt>
                <c:pt idx="128">
                  <c:v>-8.1178922911509126</c:v>
                </c:pt>
                <c:pt idx="129">
                  <c:v>-8.0967093489392337</c:v>
                </c:pt>
                <c:pt idx="130">
                  <c:v>-8.0755825011971964</c:v>
                </c:pt>
                <c:pt idx="131">
                  <c:v>-8.0545115613708536</c:v>
                </c:pt>
                <c:pt idx="132">
                  <c:v>-8.033496343705977</c:v>
                </c:pt>
                <c:pt idx="133">
                  <c:v>-8.0125366632439459</c:v>
                </c:pt>
                <c:pt idx="134">
                  <c:v>-7.9916323358176777</c:v>
                </c:pt>
                <c:pt idx="135">
                  <c:v>-7.9707831780475784</c:v>
                </c:pt>
                <c:pt idx="136">
                  <c:v>-7.9499890073375177</c:v>
                </c:pt>
                <c:pt idx="137">
                  <c:v>-7.9292496418708156</c:v>
                </c:pt>
                <c:pt idx="138">
                  <c:v>-7.9085649006062795</c:v>
                </c:pt>
                <c:pt idx="139">
                  <c:v>-7.8879346032742372</c:v>
                </c:pt>
                <c:pt idx="140">
                  <c:v>-7.867358570372601</c:v>
                </c:pt>
                <c:pt idx="141">
                  <c:v>-7.846836623162992</c:v>
                </c:pt>
                <c:pt idx="142">
                  <c:v>-7.8263685836668149</c:v>
                </c:pt>
                <c:pt idx="143">
                  <c:v>-7.8059542746614161</c:v>
                </c:pt>
                <c:pt idx="144">
                  <c:v>-7.785593519676266</c:v>
                </c:pt>
                <c:pt idx="145">
                  <c:v>-7.7652861429890896</c:v>
                </c:pt>
                <c:pt idx="146">
                  <c:v>-7.7450319696221381</c:v>
                </c:pt>
                <c:pt idx="147">
                  <c:v>-7.7248308253383726</c:v>
                </c:pt>
                <c:pt idx="148">
                  <c:v>-7.7046825366377298</c:v>
                </c:pt>
                <c:pt idx="149">
                  <c:v>-7.6845869307534187</c:v>
                </c:pt>
                <c:pt idx="150">
                  <c:v>-7.6645438356481721</c:v>
                </c:pt>
                <c:pt idx="151">
                  <c:v>-7.6445530800106134</c:v>
                </c:pt>
                <c:pt idx="152">
                  <c:v>-7.6246144932515616</c:v>
                </c:pt>
                <c:pt idx="153">
                  <c:v>-7.60472790550042</c:v>
                </c:pt>
                <c:pt idx="154">
                  <c:v>-7.584893147601532</c:v>
                </c:pt>
                <c:pt idx="155">
                  <c:v>-7.5651100511106151</c:v>
                </c:pt>
                <c:pt idx="156">
                  <c:v>-7.5453784482911654</c:v>
                </c:pt>
                <c:pt idx="157">
                  <c:v>-7.525698172110916</c:v>
                </c:pt>
                <c:pt idx="158">
                  <c:v>-7.5060690562383012</c:v>
                </c:pt>
                <c:pt idx="159">
                  <c:v>-7.486490935038943</c:v>
                </c:pt>
                <c:pt idx="160">
                  <c:v>-7.4669636435721776</c:v>
                </c:pt>
                <c:pt idx="161">
                  <c:v>-7.4474870175875578</c:v>
                </c:pt>
                <c:pt idx="162">
                  <c:v>-7.4280608935214278</c:v>
                </c:pt>
                <c:pt idx="163">
                  <c:v>-7.4086851084934873</c:v>
                </c:pt>
                <c:pt idx="164">
                  <c:v>-7.389359500303355</c:v>
                </c:pt>
                <c:pt idx="165">
                  <c:v>-7.3700839074272393</c:v>
                </c:pt>
                <c:pt idx="166">
                  <c:v>-7.3508581690145069</c:v>
                </c:pt>
                <c:pt idx="167">
                  <c:v>-7.3316821248843782</c:v>
                </c:pt>
                <c:pt idx="168">
                  <c:v>-7.3125556155225704</c:v>
                </c:pt>
                <c:pt idx="169">
                  <c:v>-7.293478482077985</c:v>
                </c:pt>
                <c:pt idx="170">
                  <c:v>-7.2744505663594454</c:v>
                </c:pt>
                <c:pt idx="171">
                  <c:v>-7.2554717108324009</c:v>
                </c:pt>
                <c:pt idx="172">
                  <c:v>-7.2365417586156724</c:v>
                </c:pt>
                <c:pt idx="173">
                  <c:v>-7.2176605534782281</c:v>
                </c:pt>
                <c:pt idx="174">
                  <c:v>-7.198827939835974</c:v>
                </c:pt>
                <c:pt idx="175">
                  <c:v>-7.1800437627485252</c:v>
                </c:pt>
                <c:pt idx="176">
                  <c:v>-7.1613078679160758</c:v>
                </c:pt>
                <c:pt idx="177">
                  <c:v>-7.1426201016761963</c:v>
                </c:pt>
                <c:pt idx="178">
                  <c:v>-7.1239803110007207</c:v>
                </c:pt>
                <c:pt idx="179">
                  <c:v>-7.1053883434925984</c:v>
                </c:pt>
                <c:pt idx="180">
                  <c:v>-7.0868440473828169</c:v>
                </c:pt>
                <c:pt idx="181">
                  <c:v>-7.0683472715272906</c:v>
                </c:pt>
                <c:pt idx="182">
                  <c:v>-7.0498978654038069</c:v>
                </c:pt>
                <c:pt idx="183">
                  <c:v>-7.0314956791089633</c:v>
                </c:pt>
                <c:pt idx="184">
                  <c:v>-7.0131405633551385</c:v>
                </c:pt>
                <c:pt idx="185">
                  <c:v>-6.9948323694674839</c:v>
                </c:pt>
                <c:pt idx="186">
                  <c:v>-6.9765709493808927</c:v>
                </c:pt>
                <c:pt idx="187">
                  <c:v>-6.9583561556370714</c:v>
                </c:pt>
                <c:pt idx="188">
                  <c:v>-6.9401878413815163</c:v>
                </c:pt>
                <c:pt idx="189">
                  <c:v>-6.9220658603606173</c:v>
                </c:pt>
                <c:pt idx="190">
                  <c:v>-6.9039900669186869</c:v>
                </c:pt>
                <c:pt idx="191">
                  <c:v>-6.8859603159950584</c:v>
                </c:pt>
                <c:pt idx="192">
                  <c:v>-6.8679764631212015</c:v>
                </c:pt>
                <c:pt idx="193">
                  <c:v>-6.8500383644178306</c:v>
                </c:pt>
                <c:pt idx="194">
                  <c:v>-6.8321458765920369</c:v>
                </c:pt>
                <c:pt idx="195">
                  <c:v>-6.814298856934438</c:v>
                </c:pt>
                <c:pt idx="196">
                  <c:v>-6.7964971633163662</c:v>
                </c:pt>
                <c:pt idx="197">
                  <c:v>-6.778740654187029</c:v>
                </c:pt>
                <c:pt idx="198">
                  <c:v>-6.7610291885707161</c:v>
                </c:pt>
                <c:pt idx="199">
                  <c:v>-6.7433626260640267</c:v>
                </c:pt>
                <c:pt idx="200">
                  <c:v>-6.7257408268330829</c:v>
                </c:pt>
                <c:pt idx="201">
                  <c:v>-6.7081636516107928</c:v>
                </c:pt>
                <c:pt idx="202">
                  <c:v>-6.53402748944879</c:v>
                </c:pt>
                <c:pt idx="203">
                  <c:v>-6.3642539565292271</c:v>
                </c:pt>
                <c:pt idx="204">
                  <c:v>-6.1987100650949589</c:v>
                </c:pt>
                <c:pt idx="205">
                  <c:v>-6.0372680834463832</c:v>
                </c:pt>
                <c:pt idx="206">
                  <c:v>-5.8798052903004683</c:v>
                </c:pt>
                <c:pt idx="207">
                  <c:v>-5.7262037425587344</c:v>
                </c:pt>
                <c:pt idx="208">
                  <c:v>-5.5763500556529504</c:v>
                </c:pt>
                <c:pt idx="209">
                  <c:v>-5.4301351956949908</c:v>
                </c:pt>
                <c:pt idx="210">
                  <c:v>-5.2874542827105895</c:v>
                </c:pt>
                <c:pt idx="211">
                  <c:v>-5.148206404285963</c:v>
                </c:pt>
                <c:pt idx="212">
                  <c:v>-5.0122944390017334</c:v>
                </c:pt>
                <c:pt idx="213">
                  <c:v>-4.8796248890707812</c:v>
                </c:pt>
                <c:pt idx="214">
                  <c:v>-4.7501077216355423</c:v>
                </c:pt>
                <c:pt idx="215">
                  <c:v>-4.6236562182163645</c:v>
                </c:pt>
                <c:pt idx="216">
                  <c:v>-4.5001868318360927</c:v>
                </c:pt>
                <c:pt idx="217">
                  <c:v>-4.3796190513768938</c:v>
                </c:pt>
                <c:pt idx="218">
                  <c:v>-4.2618752727543043</c:v>
                </c:pt>
                <c:pt idx="219">
                  <c:v>-4.1468806765200545</c:v>
                </c:pt>
                <c:pt idx="220">
                  <c:v>-4.0345631115301215</c:v>
                </c:pt>
                <c:pt idx="221">
                  <c:v>-3.9248529843375115</c:v>
                </c:pt>
                <c:pt idx="222">
                  <c:v>-3.8176831539907203</c:v>
                </c:pt>
                <c:pt idx="223">
                  <c:v>-3.7129888319387683</c:v>
                </c:pt>
                <c:pt idx="224">
                  <c:v>-3.6107074867622928</c:v>
                </c:pt>
                <c:pt idx="225">
                  <c:v>-3.5107787534675117</c:v>
                </c:pt>
                <c:pt idx="226">
                  <c:v>-3.413144347095932</c:v>
                </c:pt>
                <c:pt idx="227">
                  <c:v>-3.3177479804177712</c:v>
                </c:pt>
                <c:pt idx="228">
                  <c:v>-3.2245352854910543</c:v>
                </c:pt>
                <c:pt idx="229">
                  <c:v>-3.1334537388814367</c:v>
                </c:pt>
                <c:pt idx="230">
                  <c:v>-3.0444525903500241</c:v>
                </c:pt>
                <c:pt idx="231">
                  <c:v>-2.9574827948278739</c:v>
                </c:pt>
                <c:pt idx="232">
                  <c:v>-2.8724969475065469</c:v>
                </c:pt>
                <c:pt idx="233">
                  <c:v>-2.7894492218840168</c:v>
                </c:pt>
                <c:pt idx="234">
                  <c:v>-2.7082953106146008</c:v>
                </c:pt>
                <c:pt idx="235">
                  <c:v>-2.6289923690203225</c:v>
                </c:pt>
                <c:pt idx="236">
                  <c:v>-2.551498961129242</c:v>
                </c:pt>
                <c:pt idx="237">
                  <c:v>-2.4757750081139975</c:v>
                </c:pt>
                <c:pt idx="238">
                  <c:v>-2.4017817390109424</c:v>
                </c:pt>
                <c:pt idx="239">
                  <c:v>-2.32948164360704</c:v>
                </c:pt>
                <c:pt idx="240">
                  <c:v>-2.258838427387889</c:v>
                </c:pt>
                <c:pt idx="241">
                  <c:v>-2.1898169684463062</c:v>
                </c:pt>
                <c:pt idx="242">
                  <c:v>-2.1223832762563273</c:v>
                </c:pt>
                <c:pt idx="243">
                  <c:v>-2.0565044522227791</c:v>
                </c:pt>
                <c:pt idx="244">
                  <c:v>-1.9921486519214391</c:v>
                </c:pt>
                <c:pt idx="245">
                  <c:v>-1.9292850489494435</c:v>
                </c:pt>
                <c:pt idx="246">
                  <c:v>-1.867883800309859</c:v>
                </c:pt>
                <c:pt idx="247">
                  <c:v>-1.8079160132585026</c:v>
                </c:pt>
                <c:pt idx="248">
                  <c:v>-1.7493537135448416</c:v>
                </c:pt>
                <c:pt idx="249">
                  <c:v>-1.6921698149824367</c:v>
                </c:pt>
                <c:pt idx="250">
                  <c:v>-1.6363380902877986</c:v>
                </c:pt>
                <c:pt idx="251">
                  <c:v>-1.581833143129687</c:v>
                </c:pt>
                <c:pt idx="252">
                  <c:v>-1.5286303813339155</c:v>
                </c:pt>
                <c:pt idx="253">
                  <c:v>-1.4767059911915297</c:v>
                </c:pt>
                <c:pt idx="254">
                  <c:v>-1.4260369128209156</c:v>
                </c:pt>
                <c:pt idx="255">
                  <c:v>-1.3766008165368977</c:v>
                </c:pt>
                <c:pt idx="256">
                  <c:v>-1.3283760801822386</c:v>
                </c:pt>
                <c:pt idx="257">
                  <c:v>-1.2813417673792051</c:v>
                </c:pt>
                <c:pt idx="258">
                  <c:v>-1.2354776066609525</c:v>
                </c:pt>
                <c:pt idx="259">
                  <c:v>-1.1907639714444493</c:v>
                </c:pt>
                <c:pt idx="260">
                  <c:v>-1.147181860808544</c:v>
                </c:pt>
                <c:pt idx="261">
                  <c:v>-1.1047128810425109</c:v>
                </c:pt>
                <c:pt idx="262">
                  <c:v>-1.063339227932069</c:v>
                </c:pt>
                <c:pt idx="263">
                  <c:v>-1.0230436697514103</c:v>
                </c:pt>
                <c:pt idx="264">
                  <c:v>-0.98380953093123402</c:v>
                </c:pt>
                <c:pt idx="265">
                  <c:v>-0.94562067637413028</c:v>
                </c:pt>
                <c:pt idx="266">
                  <c:v>-0.908461496389945</c:v>
                </c:pt>
                <c:pt idx="267">
                  <c:v>-0.8723168922249257</c:v>
                </c:pt>
                <c:pt idx="268">
                  <c:v>-0.83717226215957874</c:v>
                </c:pt>
                <c:pt idx="269">
                  <c:v>-0.80301348815114948</c:v>
                </c:pt>
                <c:pt idx="270">
                  <c:v>-0.76982692299761013</c:v>
                </c:pt>
                <c:pt idx="271">
                  <c:v>-0.73759937800088438</c:v>
                </c:pt>
                <c:pt idx="272">
                  <c:v>-0.70631811110780196</c:v>
                </c:pt>
                <c:pt idx="273">
                  <c:v>-0.67597081550798566</c:v>
                </c:pt>
                <c:pt idx="274">
                  <c:v>-0.64654560866846456</c:v>
                </c:pt>
                <c:pt idx="275">
                  <c:v>-0.61803102178532565</c:v>
                </c:pt>
                <c:pt idx="276">
                  <c:v>-0.59041598963313546</c:v>
                </c:pt>
                <c:pt idx="277">
                  <c:v>-0.56368984079318185</c:v>
                </c:pt>
                <c:pt idx="278">
                  <c:v>-0.53784228824179092</c:v>
                </c:pt>
                <c:pt idx="279">
                  <c:v>-0.51286342028007637</c:v>
                </c:pt>
                <c:pt idx="280">
                  <c:v>-0.48874369178642646</c:v>
                </c:pt>
                <c:pt idx="281">
                  <c:v>-0.46547391577286573</c:v>
                </c:pt>
                <c:pt idx="282">
                  <c:v>-0.44304525522608096</c:v>
                </c:pt>
                <c:pt idx="283">
                  <c:v>-0.42144921521338879</c:v>
                </c:pt>
                <c:pt idx="284">
                  <c:v>-0.40067763523321137</c:v>
                </c:pt>
                <c:pt idx="285">
                  <c:v>-0.38072268178868102</c:v>
                </c:pt>
                <c:pt idx="286">
                  <c:v>-0.3615768411618272</c:v>
                </c:pt>
                <c:pt idx="287">
                  <c:v>-0.34323291236432524</c:v>
                </c:pt>
                <c:pt idx="288">
                  <c:v>-0.32568400023903032</c:v>
                </c:pt>
                <c:pt idx="289">
                  <c:v>-0.30892350868441271</c:v>
                </c:pt>
                <c:pt idx="290">
                  <c:v>-0.29294513397153726</c:v>
                </c:pt>
                <c:pt idx="291">
                  <c:v>-0.27774285812037369</c:v>
                </c:pt>
                <c:pt idx="292">
                  <c:v>-0.26331094229894397</c:v>
                </c:pt>
                <c:pt idx="293">
                  <c:v>-0.2496439202051389</c:v>
                </c:pt>
                <c:pt idx="294">
                  <c:v>-0.23673659138694877</c:v>
                </c:pt>
                <c:pt idx="295">
                  <c:v>-0.22458401445244927</c:v>
                </c:pt>
                <c:pt idx="296">
                  <c:v>-0.21318150011621959</c:v>
                </c:pt>
                <c:pt idx="297">
                  <c:v>-0.20252460402413555</c:v>
                </c:pt>
                <c:pt idx="298">
                  <c:v>-0.19260911929390351</c:v>
                </c:pt>
                <c:pt idx="299">
                  <c:v>-0.18343106870461667</c:v>
                </c:pt>
                <c:pt idx="300">
                  <c:v>-0.1749866964654907</c:v>
                </c:pt>
                <c:pt idx="301">
                  <c:v>-0.16727245949233463</c:v>
                </c:pt>
                <c:pt idx="302">
                  <c:v>-0.16028501812093959</c:v>
                </c:pt>
                <c:pt idx="303">
                  <c:v>-0.15402122619022224</c:v>
                </c:pt>
                <c:pt idx="304">
                  <c:v>-0.14847812043545897</c:v>
                </c:pt>
                <c:pt idx="305">
                  <c:v>-0.14365290914408227</c:v>
                </c:pt>
                <c:pt idx="306">
                  <c:v>-0.13954296004385577</c:v>
                </c:pt>
                <c:pt idx="307">
                  <c:v>-0.13614578741602867</c:v>
                </c:pt>
                <c:pt idx="308">
                  <c:v>-0.13345903845397997</c:v>
                </c:pt>
                <c:pt idx="309">
                  <c:v>-0.13148047891989778</c:v>
                </c:pt>
                <c:pt idx="310">
                  <c:v>-0.13020797818644142</c:v>
                </c:pt>
                <c:pt idx="311">
                  <c:v>-0.12963949378463752</c:v>
                </c:pt>
                <c:pt idx="312">
                  <c:v>-0.12977305561053137</c:v>
                </c:pt>
                <c:pt idx="313">
                  <c:v>-0.13060674996829238</c:v>
                </c:pt>
                <c:pt idx="314">
                  <c:v>-0.13213870364386884</c:v>
                </c:pt>
                <c:pt idx="315">
                  <c:v>-0.13436706820906044</c:v>
                </c:pt>
                <c:pt idx="316">
                  <c:v>-0.13729000475033687</c:v>
                </c:pt>
                <c:pt idx="317">
                  <c:v>-0.14090566920054262</c:v>
                </c:pt>
                <c:pt idx="318">
                  <c:v>-0.14521219842660632</c:v>
                </c:pt>
                <c:pt idx="319">
                  <c:v>-0.15020769719522106</c:v>
                </c:pt>
                <c:pt idx="320">
                  <c:v>-0.15589022610421785</c:v>
                </c:pt>
                <c:pt idx="321">
                  <c:v>-0.16225779053300557</c:v>
                </c:pt>
                <c:pt idx="322">
                  <c:v>-0.16930833063346334</c:v>
                </c:pt>
                <c:pt idx="323">
                  <c:v>-0.17703971235483912</c:v>
                </c:pt>
                <c:pt idx="324">
                  <c:v>-0.18544971947354863</c:v>
                </c:pt>
                <c:pt idx="325">
                  <c:v>-0.19453604658159837</c:v>
                </c:pt>
                <c:pt idx="326">
                  <c:v>-0.20429629297545734</c:v>
                </c:pt>
                <c:pt idx="327">
                  <c:v>-0.21472795737998204</c:v>
                </c:pt>
                <c:pt idx="328">
                  <c:v>-0.22582843343867326</c:v>
                </c:pt>
                <c:pt idx="329">
                  <c:v>-0.23759500590127189</c:v>
                </c:pt>
                <c:pt idx="330">
                  <c:v>-0.25002484744167636</c:v>
                </c:pt>
                <c:pt idx="331">
                  <c:v>-0.26311501604268273</c:v>
                </c:pt>
                <c:pt idx="332">
                  <c:v>-0.27686245288852346</c:v>
                </c:pt>
                <c:pt idx="333">
                  <c:v>-0.29126398071115339</c:v>
                </c:pt>
                <c:pt idx="334">
                  <c:v>-0.30631630254137088</c:v>
                </c:pt>
                <c:pt idx="335">
                  <c:v>-0.32201600082090326</c:v>
                </c:pt>
                <c:pt idx="336">
                  <c:v>-0.33835953683640463</c:v>
                </c:pt>
                <c:pt idx="337">
                  <c:v>-0.35534325044077975</c:v>
                </c:pt>
                <c:pt idx="338">
                  <c:v>-0.37296336003133013</c:v>
                </c:pt>
                <c:pt idx="339">
                  <c:v>-0.3912159627578975</c:v>
                </c:pt>
                <c:pt idx="340">
                  <c:v>-0.4100970349374517</c:v>
                </c:pt>
                <c:pt idx="341">
                  <c:v>-0.42960243265446529</c:v>
                </c:pt>
                <c:pt idx="342">
                  <c:v>-0.44972789252895806</c:v>
                </c:pt>
                <c:pt idx="343">
                  <c:v>-0.47046903263630807</c:v>
                </c:pt>
                <c:pt idx="344">
                  <c:v>-0.49182135356485834</c:v>
                </c:pt>
                <c:pt idx="345">
                  <c:v>-0.51378023959901709</c:v>
                </c:pt>
                <c:pt idx="346">
                  <c:v>-0.5363409600169976</c:v>
                </c:pt>
                <c:pt idx="347">
                  <c:v>-0.55949867049359148</c:v>
                </c:pt>
                <c:pt idx="348">
                  <c:v>-0.58324841459944599</c:v>
                </c:pt>
                <c:pt idx="349">
                  <c:v>-0.60758512538924403</c:v>
                </c:pt>
                <c:pt idx="350">
                  <c:v>-0.63250362707198504</c:v>
                </c:pt>
                <c:pt idx="351">
                  <c:v>-0.65799863675725478</c:v>
                </c:pt>
                <c:pt idx="352">
                  <c:v>-0.68406476627196533</c:v>
                </c:pt>
                <c:pt idx="353">
                  <c:v>-0.71069652404255423</c:v>
                </c:pt>
                <c:pt idx="354">
                  <c:v>-0.737888317038081</c:v>
                </c:pt>
                <c:pt idx="355">
                  <c:v>-0.76563445277003161</c:v>
                </c:pt>
                <c:pt idx="356">
                  <c:v>-0.79392914134497761</c:v>
                </c:pt>
                <c:pt idx="357">
                  <c:v>-0.82276649756651488</c:v>
                </c:pt>
                <c:pt idx="358">
                  <c:v>-0.85214054308316201</c:v>
                </c:pt>
                <c:pt idx="359">
                  <c:v>-0.88204520857910695</c:v>
                </c:pt>
                <c:pt idx="360">
                  <c:v>-0.91247433600487626</c:v>
                </c:pt>
                <c:pt idx="361">
                  <c:v>-0.94342168084516909</c:v>
                </c:pt>
                <c:pt idx="362">
                  <c:v>-0.97488091442123248</c:v>
                </c:pt>
                <c:pt idx="363">
                  <c:v>-1.0068456262252927</c:v>
                </c:pt>
                <c:pt idx="364">
                  <c:v>-1.0393093262846433</c:v>
                </c:pt>
                <c:pt idx="365">
                  <c:v>-1.0722654475531197</c:v>
                </c:pt>
                <c:pt idx="366">
                  <c:v>-1.1057073483277355</c:v>
                </c:pt>
                <c:pt idx="367">
                  <c:v>-1.1396283146883768</c:v>
                </c:pt>
                <c:pt idx="368">
                  <c:v>-1.1740215629584758</c:v>
                </c:pt>
                <c:pt idx="369">
                  <c:v>-1.2088802421846769</c:v>
                </c:pt>
                <c:pt idx="370">
                  <c:v>-1.2441974366335538</c:v>
                </c:pt>
                <c:pt idx="371">
                  <c:v>-1.2799661683034724</c:v>
                </c:pt>
                <c:pt idx="372">
                  <c:v>-1.3161793994497717</c:v>
                </c:pt>
                <c:pt idx="373">
                  <c:v>-1.3528300351214457</c:v>
                </c:pt>
                <c:pt idx="374">
                  <c:v>-1.389910925707561</c:v>
                </c:pt>
                <c:pt idx="375">
                  <c:v>-1.4274148694916977</c:v>
                </c:pt>
                <c:pt idx="376">
                  <c:v>-1.4653346152127011</c:v>
                </c:pt>
                <c:pt idx="377">
                  <c:v>-1.5036628646301007</c:v>
                </c:pt>
                <c:pt idx="378">
                  <c:v>-1.5423922750925623</c:v>
                </c:pt>
                <c:pt idx="379">
                  <c:v>-1.5815154621077705</c:v>
                </c:pt>
                <c:pt idx="380">
                  <c:v>-1.6210250019121892</c:v>
                </c:pt>
                <c:pt idx="381">
                  <c:v>-1.6609134340391492</c:v>
                </c:pt>
                <c:pt idx="382">
                  <c:v>-1.7011732638837525</c:v>
                </c:pt>
                <c:pt idx="383">
                  <c:v>-1.74179696526312</c:v>
                </c:pt>
                <c:pt idx="384">
                  <c:v>-1.7827769829705253</c:v>
                </c:pt>
                <c:pt idx="385">
                  <c:v>-1.8241057353219801</c:v>
                </c:pt>
                <c:pt idx="386">
                  <c:v>-1.8657756166938799</c:v>
                </c:pt>
                <c:pt idx="387">
                  <c:v>-1.9077790000503441</c:v>
                </c:pt>
                <c:pt idx="388">
                  <c:v>-1.9501082394588902</c:v>
                </c:pt>
                <c:pt idx="389">
                  <c:v>-1.9927556725931379</c:v>
                </c:pt>
                <c:pt idx="390">
                  <c:v>-2.0357136232212563</c:v>
                </c:pt>
                <c:pt idx="391">
                  <c:v>-2.078974403678882</c:v>
                </c:pt>
                <c:pt idx="392">
                  <c:v>-2.1225303173252943</c:v>
                </c:pt>
                <c:pt idx="393">
                  <c:v>-2.1663736609816202</c:v>
                </c:pt>
                <c:pt idx="394">
                  <c:v>-2.210496727349931</c:v>
                </c:pt>
                <c:pt idx="395">
                  <c:v>-2.2548918074120397</c:v>
                </c:pt>
                <c:pt idx="396">
                  <c:v>-2.2995511928069203</c:v>
                </c:pt>
                <c:pt idx="397">
                  <c:v>-2.344467178185651</c:v>
                </c:pt>
                <c:pt idx="398">
                  <c:v>-2.3896320635428188</c:v>
                </c:pt>
                <c:pt idx="399">
                  <c:v>-2.4350381565233685</c:v>
                </c:pt>
                <c:pt idx="400">
                  <c:v>-2.4806777747038966</c:v>
                </c:pt>
                <c:pt idx="401">
                  <c:v>-2.5265432478474263</c:v>
                </c:pt>
                <c:pt idx="402">
                  <c:v>-2.5726269201307312</c:v>
                </c:pt>
                <c:pt idx="403">
                  <c:v>-2.6189211523433005</c:v>
                </c:pt>
                <c:pt idx="404">
                  <c:v>-2.6654183240570841</c:v>
                </c:pt>
                <c:pt idx="405">
                  <c:v>-2.7121108357661661</c:v>
                </c:pt>
                <c:pt idx="406">
                  <c:v>-2.758991110995566</c:v>
                </c:pt>
                <c:pt idx="407">
                  <c:v>-2.8060515983783949</c:v>
                </c:pt>
                <c:pt idx="408">
                  <c:v>-2.8532847737006017</c:v>
                </c:pt>
                <c:pt idx="409">
                  <c:v>-2.9006831419126362</c:v>
                </c:pt>
                <c:pt idx="410">
                  <c:v>-2.9482392391073051</c:v>
                </c:pt>
                <c:pt idx="411">
                  <c:v>-2.9959456344631916</c:v>
                </c:pt>
                <c:pt idx="412">
                  <c:v>-3.0437949321530438</c:v>
                </c:pt>
                <c:pt idx="413">
                  <c:v>-3.0917797732165058</c:v>
                </c:pt>
                <c:pt idx="414">
                  <c:v>-3.1398928373966601</c:v>
                </c:pt>
                <c:pt idx="415">
                  <c:v>-3.1881268449398843</c:v>
                </c:pt>
                <c:pt idx="416">
                  <c:v>-3.2364745583584815</c:v>
                </c:pt>
                <c:pt idx="417">
                  <c:v>-3.2849287841556727</c:v>
                </c:pt>
                <c:pt idx="418">
                  <c:v>-3.3334823745125033</c:v>
                </c:pt>
                <c:pt idx="419">
                  <c:v>-3.3821282289362919</c:v>
                </c:pt>
                <c:pt idx="420">
                  <c:v>-3.4308592958702073</c:v>
                </c:pt>
                <c:pt idx="421">
                  <c:v>-3.4796685742637252</c:v>
                </c:pt>
                <c:pt idx="422">
                  <c:v>-3.5285491151035755</c:v>
                </c:pt>
                <c:pt idx="423">
                  <c:v>-3.5774940229049768</c:v>
                </c:pt>
                <c:pt idx="424">
                  <c:v>-3.6264964571628737</c:v>
                </c:pt>
                <c:pt idx="425">
                  <c:v>-3.675549633763004</c:v>
                </c:pt>
                <c:pt idx="426">
                  <c:v>-3.7246468263525743</c:v>
                </c:pt>
                <c:pt idx="427">
                  <c:v>-3.7737813676704319</c:v>
                </c:pt>
                <c:pt idx="428">
                  <c:v>-3.8229466508365855</c:v>
                </c:pt>
                <c:pt idx="429">
                  <c:v>-3.8721361306009769</c:v>
                </c:pt>
                <c:pt idx="430">
                  <c:v>-3.9213433245514748</c:v>
                </c:pt>
                <c:pt idx="431">
                  <c:v>-3.970561814280988</c:v>
                </c:pt>
                <c:pt idx="432">
                  <c:v>-4.0197852465137585</c:v>
                </c:pt>
                <c:pt idx="433">
                  <c:v>-4.0690073341907933</c:v>
                </c:pt>
                <c:pt idx="434">
                  <c:v>-4.1182218575145093</c:v>
                </c:pt>
                <c:pt idx="435">
                  <c:v>-4.1674226649526336</c:v>
                </c:pt>
                <c:pt idx="436">
                  <c:v>-4.2166036742014734</c:v>
                </c:pt>
                <c:pt idx="437">
                  <c:v>-4.2657588731086786</c:v>
                </c:pt>
                <c:pt idx="438">
                  <c:v>-4.3148823205555926</c:v>
                </c:pt>
                <c:pt idx="439">
                  <c:v>-4.3639681472994187</c:v>
                </c:pt>
                <c:pt idx="440">
                  <c:v>-4.4130105567753306</c:v>
                </c:pt>
                <c:pt idx="441">
                  <c:v>-4.4620038258587886</c:v>
                </c:pt>
                <c:pt idx="442">
                  <c:v>-4.5109423055882667</c:v>
                </c:pt>
                <c:pt idx="443">
                  <c:v>-4.5598204218486353</c:v>
                </c:pt>
                <c:pt idx="444">
                  <c:v>-4.6086326760154961</c:v>
                </c:pt>
                <c:pt idx="445">
                  <c:v>-4.6573736455607682</c:v>
                </c:pt>
                <c:pt idx="446">
                  <c:v>-4.7060379846197957</c:v>
                </c:pt>
                <c:pt idx="447">
                  <c:v>-4.7546204245203612</c:v>
                </c:pt>
                <c:pt idx="448">
                  <c:v>-4.8031157742739472</c:v>
                </c:pt>
                <c:pt idx="449">
                  <c:v>-4.8515189210295606</c:v>
                </c:pt>
                <c:pt idx="450">
                  <c:v>-4.8998248304905951</c:v>
                </c:pt>
                <c:pt idx="451">
                  <c:v>-4.9480285472950554</c:v>
                </c:pt>
                <c:pt idx="452">
                  <c:v>-4.9961251953596006</c:v>
                </c:pt>
                <c:pt idx="453">
                  <c:v>-5.0441099781878407</c:v>
                </c:pt>
                <c:pt idx="454">
                  <c:v>-5.0919781791433243</c:v>
                </c:pt>
                <c:pt idx="455">
                  <c:v>-5.1397251616876574</c:v>
                </c:pt>
                <c:pt idx="456">
                  <c:v>-5.1873463695842821</c:v>
                </c:pt>
                <c:pt idx="457">
                  <c:v>-5.234837327068349</c:v>
                </c:pt>
                <c:pt idx="458">
                  <c:v>-5.2821936389832329</c:v>
                </c:pt>
                <c:pt idx="459">
                  <c:v>-5.3294109908841296</c:v>
                </c:pt>
                <c:pt idx="460">
                  <c:v>-5.3764851491093459</c:v>
                </c:pt>
                <c:pt idx="461">
                  <c:v>-5.4234119608197489</c:v>
                </c:pt>
                <c:pt idx="462">
                  <c:v>-5.4701873540069261</c:v>
                </c:pt>
                <c:pt idx="463">
                  <c:v>-5.5168073374706488</c:v>
                </c:pt>
                <c:pt idx="464">
                  <c:v>-5.5632680007661222</c:v>
                </c:pt>
                <c:pt idx="465">
                  <c:v>-5.6095655141216714</c:v>
                </c:pt>
                <c:pt idx="466">
                  <c:v>-5.6556961283273699</c:v>
                </c:pt>
                <c:pt idx="467">
                  <c:v>-5.7016561745952208</c:v>
                </c:pt>
                <c:pt idx="468">
                  <c:v>-5.7474420643914774</c:v>
                </c:pt>
                <c:pt idx="469">
                  <c:v>-5.7930502892416929</c:v>
                </c:pt>
                <c:pt idx="470">
                  <c:v>-5.838477420509065</c:v>
                </c:pt>
                <c:pt idx="471">
                  <c:v>-5.8837201091467417</c:v>
                </c:pt>
                <c:pt idx="472">
                  <c:v>-5.928775085424614</c:v>
                </c:pt>
                <c:pt idx="473">
                  <c:v>-5.9736391586312472</c:v>
                </c:pt>
                <c:pt idx="474">
                  <c:v>-6.0183092167515815</c:v>
                </c:pt>
                <c:pt idx="475">
                  <c:v>-6.0627822261209454</c:v>
                </c:pt>
                <c:pt idx="476">
                  <c:v>-6.1070552310560648</c:v>
                </c:pt>
                <c:pt idx="477">
                  <c:v>-6.1511253534636223</c:v>
                </c:pt>
                <c:pt idx="478">
                  <c:v>-6.1949897924270578</c:v>
                </c:pt>
                <c:pt idx="479">
                  <c:v>-6.2386458237721172</c:v>
                </c:pt>
                <c:pt idx="480">
                  <c:v>-6.2820907996118907</c:v>
                </c:pt>
                <c:pt idx="481">
                  <c:v>-6.3253221478718551</c:v>
                </c:pt>
                <c:pt idx="482">
                  <c:v>-6.3683373717955725</c:v>
                </c:pt>
                <c:pt idx="483">
                  <c:v>-6.4111340494316602</c:v>
                </c:pt>
                <c:pt idx="484">
                  <c:v>-6.4537098331026357</c:v>
                </c:pt>
                <c:pt idx="485">
                  <c:v>-6.4960624488562555</c:v>
                </c:pt>
                <c:pt idx="486">
                  <c:v>-6.5381896958999235</c:v>
                </c:pt>
                <c:pt idx="487">
                  <c:v>-6.5800894460187767</c:v>
                </c:pt>
                <c:pt idx="488">
                  <c:v>-6.621759642978116</c:v>
                </c:pt>
                <c:pt idx="489">
                  <c:v>-6.663198301910648</c:v>
                </c:pt>
                <c:pt idx="490">
                  <c:v>-6.7044035086892331</c:v>
                </c:pt>
                <c:pt idx="491">
                  <c:v>-6.7453734192856967</c:v>
                </c:pt>
                <c:pt idx="492">
                  <c:v>-6.7861062591162735</c:v>
                </c:pt>
                <c:pt idx="493">
                  <c:v>-6.8266003223742366</c:v>
                </c:pt>
                <c:pt idx="494">
                  <c:v>-6.8668539713503467</c:v>
                </c:pt>
                <c:pt idx="495">
                  <c:v>-6.9068656357416369</c:v>
                </c:pt>
                <c:pt idx="496">
                  <c:v>-6.9466338119491002</c:v>
                </c:pt>
                <c:pt idx="497">
                  <c:v>-6.9861570623648319</c:v>
                </c:pt>
                <c:pt idx="498">
                  <c:v>-7.0254340146491785</c:v>
                </c:pt>
                <c:pt idx="499">
                  <c:v>-7.0644633609984542</c:v>
                </c:pt>
                <c:pt idx="500">
                  <c:v>-7.103243857403684</c:v>
                </c:pt>
                <c:pt idx="501">
                  <c:v>-7.1417743229009973</c:v>
                </c:pt>
                <c:pt idx="502">
                  <c:v>-7.1800536388141039</c:v>
                </c:pt>
                <c:pt idx="503">
                  <c:v>-7.2180807479894336</c:v>
                </c:pt>
                <c:pt idx="504">
                  <c:v>-7.2558546540243567</c:v>
                </c:pt>
                <c:pt idx="505">
                  <c:v>-7.2933744204891076</c:v>
                </c:pt>
                <c:pt idx="506">
                  <c:v>-7.3306391701427458</c:v>
                </c:pt>
                <c:pt idx="507">
                  <c:v>-7.3676480841437471</c:v>
                </c:pt>
                <c:pt idx="508">
                  <c:v>-7.4044004012556632</c:v>
                </c:pt>
                <c:pt idx="509">
                  <c:v>-7.4408954170483153</c:v>
                </c:pt>
                <c:pt idx="510">
                  <c:v>-7.4771324830949002</c:v>
                </c:pt>
                <c:pt idx="511">
                  <c:v>-7.5131110061656345</c:v>
                </c:pt>
                <c:pt idx="512">
                  <c:v>-7.5488304474181573</c:v>
                </c:pt>
                <c:pt idx="513">
                  <c:v>-7.5842903215852848</c:v>
                </c:pt>
                <c:pt idx="514">
                  <c:v>-7.6194901961604522</c:v>
                </c:pt>
                <c:pt idx="515">
                  <c:v>-7.6544296905812885</c:v>
                </c:pt>
                <c:pt idx="516">
                  <c:v>-7.6891084754116887</c:v>
                </c:pt>
                <c:pt idx="517">
                  <c:v>-7.7235262715228297</c:v>
                </c:pt>
                <c:pt idx="518">
                  <c:v>-7.7576828492734693</c:v>
                </c:pt>
                <c:pt idx="519">
                  <c:v>-7.7915780276899289</c:v>
                </c:pt>
                <c:pt idx="520">
                  <c:v>-7.8252116736460984</c:v>
                </c:pt>
                <c:pt idx="521">
                  <c:v>-7.8585837010438473</c:v>
                </c:pt>
                <c:pt idx="522">
                  <c:v>-7.8916940699941849</c:v>
                </c:pt>
                <c:pt idx="523">
                  <c:v>-7.9245427859995017</c:v>
                </c:pt>
                <c:pt idx="524">
                  <c:v>-7.9571298991372101</c:v>
                </c:pt>
                <c:pt idx="525">
                  <c:v>-7.989455503245134</c:v>
                </c:pt>
                <c:pt idx="526">
                  <c:v>-8.0215197351089476</c:v>
                </c:pt>
                <c:pt idx="527">
                  <c:v>-8.0533227736519351</c:v>
                </c:pt>
                <c:pt idx="528">
                  <c:v>-8.0848648391274143</c:v>
                </c:pt>
                <c:pt idx="529">
                  <c:v>-8.1161461923141243</c:v>
                </c:pt>
                <c:pt idx="530">
                  <c:v>-8.1471671337147171</c:v>
                </c:pt>
                <c:pt idx="531">
                  <c:v>-8.1779280027578434</c:v>
                </c:pt>
                <c:pt idx="532">
                  <c:v>-8.1779584501415385</c:v>
                </c:pt>
                <c:pt idx="533">
                  <c:v>-8.1779888972682198</c:v>
                </c:pt>
                <c:pt idx="534">
                  <c:v>-8.1780193441378781</c:v>
                </c:pt>
                <c:pt idx="535">
                  <c:v>-8.178049790750519</c:v>
                </c:pt>
                <c:pt idx="536">
                  <c:v>-8.1780802371061423</c:v>
                </c:pt>
                <c:pt idx="537">
                  <c:v>-8.1781106832047463</c:v>
                </c:pt>
                <c:pt idx="538">
                  <c:v>-8.1781411290463346</c:v>
                </c:pt>
                <c:pt idx="539">
                  <c:v>-8.1781715746309072</c:v>
                </c:pt>
                <c:pt idx="540">
                  <c:v>-8.178202019958464</c:v>
                </c:pt>
                <c:pt idx="541">
                  <c:v>-8.1782324650290068</c:v>
                </c:pt>
                <c:pt idx="542">
                  <c:v>-8.1782629098425303</c:v>
                </c:pt>
                <c:pt idx="543">
                  <c:v>-8.1782933543990417</c:v>
                </c:pt>
                <c:pt idx="544">
                  <c:v>-8.1783237986985338</c:v>
                </c:pt>
                <c:pt idx="545">
                  <c:v>-8.178354242741019</c:v>
                </c:pt>
                <c:pt idx="546">
                  <c:v>-8.1783846865264902</c:v>
                </c:pt>
                <c:pt idx="547">
                  <c:v>-8.1784151300549421</c:v>
                </c:pt>
                <c:pt idx="548">
                  <c:v>-8.178445573326389</c:v>
                </c:pt>
                <c:pt idx="549">
                  <c:v>-8.1784760163408148</c:v>
                </c:pt>
                <c:pt idx="550">
                  <c:v>-8.1785064590982337</c:v>
                </c:pt>
                <c:pt idx="551">
                  <c:v>-8.1785369015986369</c:v>
                </c:pt>
                <c:pt idx="552">
                  <c:v>-8.1785673438420297</c:v>
                </c:pt>
                <c:pt idx="553">
                  <c:v>-8.1785977858284156</c:v>
                </c:pt>
                <c:pt idx="554">
                  <c:v>-8.178628227557784</c:v>
                </c:pt>
                <c:pt idx="555">
                  <c:v>-8.1786586690301455</c:v>
                </c:pt>
                <c:pt idx="556">
                  <c:v>-8.1786891102454984</c:v>
                </c:pt>
                <c:pt idx="557">
                  <c:v>-8.1787195512038373</c:v>
                </c:pt>
                <c:pt idx="558">
                  <c:v>-8.1787499919051729</c:v>
                </c:pt>
                <c:pt idx="559">
                  <c:v>-8.1787804323494981</c:v>
                </c:pt>
                <c:pt idx="560">
                  <c:v>-8.1788108725368183</c:v>
                </c:pt>
                <c:pt idx="561">
                  <c:v>-8.1788413124671226</c:v>
                </c:pt>
                <c:pt idx="562">
                  <c:v>-8.1788717521404273</c:v>
                </c:pt>
                <c:pt idx="563">
                  <c:v>-8.1789021915567215</c:v>
                </c:pt>
                <c:pt idx="564">
                  <c:v>-8.1789326307160106</c:v>
                </c:pt>
                <c:pt idx="565">
                  <c:v>-8.1789630696182893</c:v>
                </c:pt>
                <c:pt idx="566">
                  <c:v>-8.1789935082635683</c:v>
                </c:pt>
                <c:pt idx="567">
                  <c:v>-8.1790239466518386</c:v>
                </c:pt>
                <c:pt idx="568">
                  <c:v>-8.1790543847831056</c:v>
                </c:pt>
                <c:pt idx="569">
                  <c:v>-8.179084822657364</c:v>
                </c:pt>
                <c:pt idx="570">
                  <c:v>-8.1791152602746209</c:v>
                </c:pt>
                <c:pt idx="571">
                  <c:v>-8.1791456976348762</c:v>
                </c:pt>
                <c:pt idx="572">
                  <c:v>-8.1791761347381247</c:v>
                </c:pt>
                <c:pt idx="573">
                  <c:v>-8.1792065715843716</c:v>
                </c:pt>
                <c:pt idx="574">
                  <c:v>-8.179237008173617</c:v>
                </c:pt>
                <c:pt idx="575">
                  <c:v>-8.1792674445058591</c:v>
                </c:pt>
                <c:pt idx="576">
                  <c:v>-8.1792978805810961</c:v>
                </c:pt>
                <c:pt idx="577">
                  <c:v>-8.1793283163993351</c:v>
                </c:pt>
                <c:pt idx="578">
                  <c:v>-8.1793587519605726</c:v>
                </c:pt>
                <c:pt idx="579">
                  <c:v>-8.1793891872648139</c:v>
                </c:pt>
                <c:pt idx="580">
                  <c:v>-8.1794196223120501</c:v>
                </c:pt>
                <c:pt idx="581">
                  <c:v>-8.1794500571022901</c:v>
                </c:pt>
                <c:pt idx="582">
                  <c:v>-8.1794804916355286</c:v>
                </c:pt>
                <c:pt idx="583">
                  <c:v>-8.1795109259117726</c:v>
                </c:pt>
                <c:pt idx="584">
                  <c:v>-8.1795413599310098</c:v>
                </c:pt>
                <c:pt idx="585">
                  <c:v>-8.179571793693249</c:v>
                </c:pt>
                <c:pt idx="586">
                  <c:v>-8.1796022271984974</c:v>
                </c:pt>
                <c:pt idx="587">
                  <c:v>-8.1796326604467424</c:v>
                </c:pt>
                <c:pt idx="588">
                  <c:v>-8.1796630934380001</c:v>
                </c:pt>
                <c:pt idx="589">
                  <c:v>-8.179693526172251</c:v>
                </c:pt>
                <c:pt idx="590">
                  <c:v>-8.1797239586495092</c:v>
                </c:pt>
                <c:pt idx="591">
                  <c:v>-8.1797543908697765</c:v>
                </c:pt>
                <c:pt idx="592">
                  <c:v>-8.1797848228330405</c:v>
                </c:pt>
                <c:pt idx="593">
                  <c:v>-8.1798152545393066</c:v>
                </c:pt>
                <c:pt idx="594">
                  <c:v>-8.1798456859885853</c:v>
                </c:pt>
                <c:pt idx="595">
                  <c:v>-8.1798761171808696</c:v>
                </c:pt>
                <c:pt idx="596">
                  <c:v>-8.179906548116163</c:v>
                </c:pt>
                <c:pt idx="597">
                  <c:v>-8.1799369787944567</c:v>
                </c:pt>
                <c:pt idx="598">
                  <c:v>-8.1799674092157613</c:v>
                </c:pt>
                <c:pt idx="599">
                  <c:v>-8.1799978393800714</c:v>
                </c:pt>
                <c:pt idx="600">
                  <c:v>-8.1800282692873925</c:v>
                </c:pt>
                <c:pt idx="601">
                  <c:v>-8.1800586989377209</c:v>
                </c:pt>
                <c:pt idx="602">
                  <c:v>-8.1800891283310548</c:v>
                </c:pt>
                <c:pt idx="603">
                  <c:v>-8.1801195574674015</c:v>
                </c:pt>
                <c:pt idx="604">
                  <c:v>-8.1801499863467555</c:v>
                </c:pt>
                <c:pt idx="605">
                  <c:v>-8.1801804149691222</c:v>
                </c:pt>
                <c:pt idx="606">
                  <c:v>-8.180210843334498</c:v>
                </c:pt>
                <c:pt idx="607">
                  <c:v>-8.1802412714428829</c:v>
                </c:pt>
                <c:pt idx="608">
                  <c:v>-8.1802716992942806</c:v>
                </c:pt>
                <c:pt idx="609">
                  <c:v>-8.1803021268886873</c:v>
                </c:pt>
                <c:pt idx="610">
                  <c:v>-8.1803325542261121</c:v>
                </c:pt>
                <c:pt idx="611">
                  <c:v>-8.1803629813065442</c:v>
                </c:pt>
                <c:pt idx="612">
                  <c:v>-8.1803934081299907</c:v>
                </c:pt>
                <c:pt idx="613">
                  <c:v>-8.1804238346964482</c:v>
                </c:pt>
                <c:pt idx="614">
                  <c:v>-8.1804542610059272</c:v>
                </c:pt>
                <c:pt idx="615">
                  <c:v>-8.18048468705841</c:v>
                </c:pt>
                <c:pt idx="616">
                  <c:v>-8.1805151128539109</c:v>
                </c:pt>
                <c:pt idx="617">
                  <c:v>-8.1805455383924262</c:v>
                </c:pt>
                <c:pt idx="618">
                  <c:v>-8.1805759636739577</c:v>
                </c:pt>
                <c:pt idx="619">
                  <c:v>-8.1806063886985037</c:v>
                </c:pt>
                <c:pt idx="620">
                  <c:v>-8.1806368134660694</c:v>
                </c:pt>
                <c:pt idx="621">
                  <c:v>-8.1806672379766443</c:v>
                </c:pt>
                <c:pt idx="622">
                  <c:v>-8.1806976622302443</c:v>
                </c:pt>
                <c:pt idx="623">
                  <c:v>-8.1807280862268552</c:v>
                </c:pt>
                <c:pt idx="624">
                  <c:v>-8.1807585099664824</c:v>
                </c:pt>
                <c:pt idx="625">
                  <c:v>-8.1807889334491275</c:v>
                </c:pt>
                <c:pt idx="626">
                  <c:v>-8.1808193566747942</c:v>
                </c:pt>
                <c:pt idx="627">
                  <c:v>-8.1808497796434789</c:v>
                </c:pt>
                <c:pt idx="628">
                  <c:v>-8.180880202355187</c:v>
                </c:pt>
                <c:pt idx="629">
                  <c:v>-8.1809106248099077</c:v>
                </c:pt>
                <c:pt idx="630">
                  <c:v>-8.1809410470076518</c:v>
                </c:pt>
                <c:pt idx="631">
                  <c:v>-8.1809714689484174</c:v>
                </c:pt>
                <c:pt idx="632">
                  <c:v>-8.1810018906321975</c:v>
                </c:pt>
                <c:pt idx="633">
                  <c:v>-8.1810323120590063</c:v>
                </c:pt>
                <c:pt idx="634">
                  <c:v>-8.1810627332288348</c:v>
                </c:pt>
                <c:pt idx="635">
                  <c:v>-8.181093154141692</c:v>
                </c:pt>
                <c:pt idx="636">
                  <c:v>-8.1811235747975637</c:v>
                </c:pt>
                <c:pt idx="637">
                  <c:v>-8.1811539951964569</c:v>
                </c:pt>
                <c:pt idx="638">
                  <c:v>-8.1811844153383788</c:v>
                </c:pt>
                <c:pt idx="639">
                  <c:v>-8.1812148352233223</c:v>
                </c:pt>
                <c:pt idx="640">
                  <c:v>-8.1812452548512873</c:v>
                </c:pt>
                <c:pt idx="641">
                  <c:v>-8.1812756742222774</c:v>
                </c:pt>
                <c:pt idx="642">
                  <c:v>-8.181306093336298</c:v>
                </c:pt>
                <c:pt idx="643">
                  <c:v>-8.1813365121933366</c:v>
                </c:pt>
                <c:pt idx="644">
                  <c:v>-8.181366930793402</c:v>
                </c:pt>
                <c:pt idx="645">
                  <c:v>-8.181397349136498</c:v>
                </c:pt>
                <c:pt idx="646">
                  <c:v>-8.1814277672226172</c:v>
                </c:pt>
                <c:pt idx="647">
                  <c:v>-8.1814581850517651</c:v>
                </c:pt>
                <c:pt idx="648">
                  <c:v>-8.1814886026239435</c:v>
                </c:pt>
                <c:pt idx="649">
                  <c:v>-8.1815190199391417</c:v>
                </c:pt>
                <c:pt idx="650">
                  <c:v>-8.1815494369973756</c:v>
                </c:pt>
                <c:pt idx="651">
                  <c:v>-8.1815798537986293</c:v>
                </c:pt>
                <c:pt idx="652">
                  <c:v>-8.1816102703429223</c:v>
                </c:pt>
                <c:pt idx="653">
                  <c:v>-8.1816406866302351</c:v>
                </c:pt>
                <c:pt idx="654">
                  <c:v>-8.1816711026605837</c:v>
                </c:pt>
                <c:pt idx="655">
                  <c:v>-8.181701518433961</c:v>
                </c:pt>
                <c:pt idx="656">
                  <c:v>-8.1817319339503669</c:v>
                </c:pt>
                <c:pt idx="657">
                  <c:v>-8.1817623492098051</c:v>
                </c:pt>
                <c:pt idx="658">
                  <c:v>-8.1817927642122754</c:v>
                </c:pt>
                <c:pt idx="659">
                  <c:v>-8.181823178957778</c:v>
                </c:pt>
                <c:pt idx="660">
                  <c:v>-8.181853593446311</c:v>
                </c:pt>
                <c:pt idx="661">
                  <c:v>-8.1818840076778745</c:v>
                </c:pt>
                <c:pt idx="662">
                  <c:v>-8.1819144216524755</c:v>
                </c:pt>
                <c:pt idx="663">
                  <c:v>-8.181944835370107</c:v>
                </c:pt>
                <c:pt idx="664">
                  <c:v>-8.1819752488307707</c:v>
                </c:pt>
                <c:pt idx="665">
                  <c:v>-8.1820056620344754</c:v>
                </c:pt>
                <c:pt idx="666">
                  <c:v>-8.1820360749812107</c:v>
                </c:pt>
                <c:pt idx="667">
                  <c:v>-8.1820664876709817</c:v>
                </c:pt>
                <c:pt idx="668">
                  <c:v>-8.1820969001037831</c:v>
                </c:pt>
                <c:pt idx="669">
                  <c:v>-8.1821273122796221</c:v>
                </c:pt>
                <c:pt idx="670">
                  <c:v>-8.1821577241984969</c:v>
                </c:pt>
                <c:pt idx="671">
                  <c:v>-8.1821881358604127</c:v>
                </c:pt>
                <c:pt idx="672">
                  <c:v>-8.1822185472653626</c:v>
                </c:pt>
                <c:pt idx="673">
                  <c:v>-8.1822489584133571</c:v>
                </c:pt>
                <c:pt idx="674">
                  <c:v>-8.1822793693043785</c:v>
                </c:pt>
                <c:pt idx="675">
                  <c:v>-8.1823097799384428</c:v>
                </c:pt>
                <c:pt idx="676">
                  <c:v>-8.1823401903155464</c:v>
                </c:pt>
                <c:pt idx="677">
                  <c:v>-8.1823706004356875</c:v>
                </c:pt>
                <c:pt idx="678">
                  <c:v>-8.1824010102988733</c:v>
                </c:pt>
                <c:pt idx="679">
                  <c:v>-8.1824314199050932</c:v>
                </c:pt>
                <c:pt idx="680">
                  <c:v>-8.1824618292543576</c:v>
                </c:pt>
                <c:pt idx="681">
                  <c:v>-8.1824922383466596</c:v>
                </c:pt>
                <c:pt idx="682">
                  <c:v>-8.1825226471820027</c:v>
                </c:pt>
                <c:pt idx="683">
                  <c:v>-8.1825530557603834</c:v>
                </c:pt>
                <c:pt idx="684">
                  <c:v>-8.1825834640818105</c:v>
                </c:pt>
                <c:pt idx="685">
                  <c:v>-8.1826138721462822</c:v>
                </c:pt>
                <c:pt idx="686">
                  <c:v>-8.1826442799537986</c:v>
                </c:pt>
                <c:pt idx="687">
                  <c:v>-8.1826746875043526</c:v>
                </c:pt>
                <c:pt idx="688">
                  <c:v>-8.1827050947979458</c:v>
                </c:pt>
                <c:pt idx="689">
                  <c:v>-8.1827355018345909</c:v>
                </c:pt>
                <c:pt idx="690">
                  <c:v>-8.1827659086142823</c:v>
                </c:pt>
                <c:pt idx="691">
                  <c:v>-8.1827963151370149</c:v>
                </c:pt>
                <c:pt idx="692">
                  <c:v>-8.1828267214027903</c:v>
                </c:pt>
                <c:pt idx="693">
                  <c:v>-8.182857127411614</c:v>
                </c:pt>
                <c:pt idx="694">
                  <c:v>-8.1828875331634823</c:v>
                </c:pt>
                <c:pt idx="695">
                  <c:v>-8.1829179386583952</c:v>
                </c:pt>
                <c:pt idx="696">
                  <c:v>-8.1829483438963599</c:v>
                </c:pt>
                <c:pt idx="697">
                  <c:v>-8.182978748877364</c:v>
                </c:pt>
                <c:pt idx="698">
                  <c:v>-8.183009153601418</c:v>
                </c:pt>
                <c:pt idx="699">
                  <c:v>-8.1830395580685256</c:v>
                </c:pt>
                <c:pt idx="700">
                  <c:v>-8.1830699622786778</c:v>
                </c:pt>
                <c:pt idx="701">
                  <c:v>-8.1831003662318764</c:v>
                </c:pt>
                <c:pt idx="702">
                  <c:v>-8.1831307699281322</c:v>
                </c:pt>
                <c:pt idx="703">
                  <c:v>-8.1831611733674325</c:v>
                </c:pt>
                <c:pt idx="704">
                  <c:v>-8.1831915765497811</c:v>
                </c:pt>
                <c:pt idx="705">
                  <c:v>-8.183221979475185</c:v>
                </c:pt>
                <c:pt idx="706">
                  <c:v>-8.1832523821436354</c:v>
                </c:pt>
                <c:pt idx="707">
                  <c:v>-8.1832827845551375</c:v>
                </c:pt>
                <c:pt idx="708">
                  <c:v>-8.1833131867096949</c:v>
                </c:pt>
                <c:pt idx="709">
                  <c:v>-8.1833435886072952</c:v>
                </c:pt>
                <c:pt idx="710">
                  <c:v>-8.1833739902479596</c:v>
                </c:pt>
                <c:pt idx="711">
                  <c:v>-8.183404391631667</c:v>
                </c:pt>
                <c:pt idx="712">
                  <c:v>-8.183434792758435</c:v>
                </c:pt>
                <c:pt idx="713">
                  <c:v>-8.1834651936282565</c:v>
                </c:pt>
                <c:pt idx="714">
                  <c:v>-8.1834955942411245</c:v>
                </c:pt>
                <c:pt idx="715">
                  <c:v>-8.1835259945970513</c:v>
                </c:pt>
                <c:pt idx="716">
                  <c:v>-8.1835563946960335</c:v>
                </c:pt>
                <c:pt idx="717">
                  <c:v>-8.1835867945380709</c:v>
                </c:pt>
                <c:pt idx="718">
                  <c:v>-8.1836171941231655</c:v>
                </c:pt>
                <c:pt idx="719">
                  <c:v>-8.1836475934513171</c:v>
                </c:pt>
                <c:pt idx="720">
                  <c:v>-8.183677992522524</c:v>
                </c:pt>
                <c:pt idx="721">
                  <c:v>-8.1837083913367898</c:v>
                </c:pt>
                <c:pt idx="722">
                  <c:v>-8.1837387898941092</c:v>
                </c:pt>
                <c:pt idx="723">
                  <c:v>-8.1837691881944856</c:v>
                </c:pt>
                <c:pt idx="724">
                  <c:v>-8.1837995862379245</c:v>
                </c:pt>
                <c:pt idx="725">
                  <c:v>-8.1838299840244186</c:v>
                </c:pt>
                <c:pt idx="726">
                  <c:v>-8.1838603815539734</c:v>
                </c:pt>
                <c:pt idx="727">
                  <c:v>-8.1838907788265889</c:v>
                </c:pt>
                <c:pt idx="728">
                  <c:v>-8.1839211758422614</c:v>
                </c:pt>
                <c:pt idx="729">
                  <c:v>-8.1839515726009964</c:v>
                </c:pt>
                <c:pt idx="730">
                  <c:v>-8.1839819691027866</c:v>
                </c:pt>
                <c:pt idx="731">
                  <c:v>-8.1840123653476393</c:v>
                </c:pt>
                <c:pt idx="732">
                  <c:v>-8.1840427613355615</c:v>
                </c:pt>
                <c:pt idx="733">
                  <c:v>-8.1840731570665408</c:v>
                </c:pt>
                <c:pt idx="734">
                  <c:v>-8.184103552540579</c:v>
                </c:pt>
                <c:pt idx="735">
                  <c:v>-8.1841339477576813</c:v>
                </c:pt>
                <c:pt idx="736">
                  <c:v>-8.184164342717855</c:v>
                </c:pt>
                <c:pt idx="737">
                  <c:v>-8.1841947374210822</c:v>
                </c:pt>
                <c:pt idx="738">
                  <c:v>-8.18422513186737</c:v>
                </c:pt>
                <c:pt idx="739">
                  <c:v>-8.1842555260567309</c:v>
                </c:pt>
                <c:pt idx="740">
                  <c:v>-8.1842859199891578</c:v>
                </c:pt>
                <c:pt idx="741">
                  <c:v>-8.1843163136646435</c:v>
                </c:pt>
                <c:pt idx="742">
                  <c:v>-8.1843467070831952</c:v>
                </c:pt>
                <c:pt idx="743">
                  <c:v>-8.1843771002448182</c:v>
                </c:pt>
                <c:pt idx="744">
                  <c:v>-8.1844074931495037</c:v>
                </c:pt>
                <c:pt idx="745">
                  <c:v>-8.1844378857972533</c:v>
                </c:pt>
                <c:pt idx="746">
                  <c:v>-8.1844682781880724</c:v>
                </c:pt>
                <c:pt idx="747">
                  <c:v>-8.1844986703219558</c:v>
                </c:pt>
                <c:pt idx="748">
                  <c:v>-8.1845290621989122</c:v>
                </c:pt>
                <c:pt idx="749">
                  <c:v>-8.1845594538189363</c:v>
                </c:pt>
                <c:pt idx="750">
                  <c:v>-8.1845898451820265</c:v>
                </c:pt>
                <c:pt idx="751">
                  <c:v>-8.1846202362881897</c:v>
                </c:pt>
                <c:pt idx="752">
                  <c:v>-8.1846506271374171</c:v>
                </c:pt>
                <c:pt idx="753">
                  <c:v>-8.1846810177297193</c:v>
                </c:pt>
                <c:pt idx="754">
                  <c:v>-8.1847114080650929</c:v>
                </c:pt>
                <c:pt idx="755">
                  <c:v>-8.1847417981435342</c:v>
                </c:pt>
                <c:pt idx="756">
                  <c:v>-8.1847721879650486</c:v>
                </c:pt>
                <c:pt idx="757">
                  <c:v>-8.1848025775296325</c:v>
                </c:pt>
                <c:pt idx="758">
                  <c:v>-8.1848329668372912</c:v>
                </c:pt>
                <c:pt idx="759">
                  <c:v>-8.1848633558880195</c:v>
                </c:pt>
                <c:pt idx="760">
                  <c:v>-8.1848937446818244</c:v>
                </c:pt>
                <c:pt idx="761">
                  <c:v>-8.1849241332187006</c:v>
                </c:pt>
                <c:pt idx="762">
                  <c:v>-8.1849545214986481</c:v>
                </c:pt>
                <c:pt idx="763">
                  <c:v>-8.1849849095216705</c:v>
                </c:pt>
                <c:pt idx="764">
                  <c:v>-8.1850152972877677</c:v>
                </c:pt>
                <c:pt idx="765">
                  <c:v>-8.1850456847969433</c:v>
                </c:pt>
                <c:pt idx="766">
                  <c:v>-8.185076072049192</c:v>
                </c:pt>
                <c:pt idx="767">
                  <c:v>-8.1851064590445155</c:v>
                </c:pt>
                <c:pt idx="768">
                  <c:v>-8.1851368457829174</c:v>
                </c:pt>
                <c:pt idx="769">
                  <c:v>-8.1851672322643942</c:v>
                </c:pt>
                <c:pt idx="770">
                  <c:v>-8.1851976184889494</c:v>
                </c:pt>
                <c:pt idx="771">
                  <c:v>-8.1852280044565831</c:v>
                </c:pt>
                <c:pt idx="772">
                  <c:v>-8.1852583901672862</c:v>
                </c:pt>
                <c:pt idx="773">
                  <c:v>-8.1852887756210766</c:v>
                </c:pt>
                <c:pt idx="774">
                  <c:v>-8.1853191608179419</c:v>
                </c:pt>
                <c:pt idx="775">
                  <c:v>-8.1853495457578855</c:v>
                </c:pt>
                <c:pt idx="776">
                  <c:v>-8.1853799304409058</c:v>
                </c:pt>
                <c:pt idx="777">
                  <c:v>-8.1854103148670134</c:v>
                </c:pt>
                <c:pt idx="778">
                  <c:v>-8.1854406990361959</c:v>
                </c:pt>
                <c:pt idx="779">
                  <c:v>-8.1854710829484603</c:v>
                </c:pt>
                <c:pt idx="780">
                  <c:v>-8.1855014666038048</c:v>
                </c:pt>
                <c:pt idx="781">
                  <c:v>-8.1855318500022332</c:v>
                </c:pt>
                <c:pt idx="782">
                  <c:v>-8.1855622331437417</c:v>
                </c:pt>
                <c:pt idx="783">
                  <c:v>-8.1855926160283321</c:v>
                </c:pt>
                <c:pt idx="784">
                  <c:v>-8.1856229986560081</c:v>
                </c:pt>
                <c:pt idx="785">
                  <c:v>-8.1856533810267624</c:v>
                </c:pt>
                <c:pt idx="786">
                  <c:v>-8.1856837631406041</c:v>
                </c:pt>
                <c:pt idx="787">
                  <c:v>-8.1857141449975277</c:v>
                </c:pt>
                <c:pt idx="788">
                  <c:v>-8.1857445265975368</c:v>
                </c:pt>
                <c:pt idx="789">
                  <c:v>-8.1857749079406297</c:v>
                </c:pt>
                <c:pt idx="790">
                  <c:v>-8.1858052890268063</c:v>
                </c:pt>
                <c:pt idx="791">
                  <c:v>-8.1858356698560719</c:v>
                </c:pt>
                <c:pt idx="792">
                  <c:v>-8.1858660504284266</c:v>
                </c:pt>
                <c:pt idx="793">
                  <c:v>-8.1858964307438598</c:v>
                </c:pt>
                <c:pt idx="794">
                  <c:v>-8.1859268108023855</c:v>
                </c:pt>
                <c:pt idx="795">
                  <c:v>-8.1859571906039985</c:v>
                </c:pt>
                <c:pt idx="796">
                  <c:v>-8.185987570148697</c:v>
                </c:pt>
                <c:pt idx="797">
                  <c:v>-8.1860179494364829</c:v>
                </c:pt>
                <c:pt idx="798">
                  <c:v>-8.1860483284673577</c:v>
                </c:pt>
                <c:pt idx="799">
                  <c:v>-8.1860787072413252</c:v>
                </c:pt>
                <c:pt idx="800">
                  <c:v>-8.1861090857583783</c:v>
                </c:pt>
                <c:pt idx="801">
                  <c:v>-8.1861394640185203</c:v>
                </c:pt>
                <c:pt idx="802">
                  <c:v>-8.1861698420217532</c:v>
                </c:pt>
                <c:pt idx="803">
                  <c:v>-8.186200219768077</c:v>
                </c:pt>
                <c:pt idx="804">
                  <c:v>-8.1862305972574916</c:v>
                </c:pt>
                <c:pt idx="805">
                  <c:v>-8.1862609744899952</c:v>
                </c:pt>
                <c:pt idx="806">
                  <c:v>-8.1862913514655915</c:v>
                </c:pt>
                <c:pt idx="807">
                  <c:v>-8.1863217281842857</c:v>
                </c:pt>
                <c:pt idx="808">
                  <c:v>-8.186352104646069</c:v>
                </c:pt>
                <c:pt idx="809">
                  <c:v>-8.1863824808509396</c:v>
                </c:pt>
                <c:pt idx="810">
                  <c:v>-8.1864128567989063</c:v>
                </c:pt>
                <c:pt idx="811">
                  <c:v>-8.1864432324899656</c:v>
                </c:pt>
                <c:pt idx="812">
                  <c:v>-8.1864736079241247</c:v>
                </c:pt>
                <c:pt idx="813">
                  <c:v>-8.1865039831013711</c:v>
                </c:pt>
                <c:pt idx="814">
                  <c:v>-8.1865343580217136</c:v>
                </c:pt>
                <c:pt idx="815">
                  <c:v>-8.1865647326851558</c:v>
                </c:pt>
                <c:pt idx="816">
                  <c:v>-8.1865951070916996</c:v>
                </c:pt>
                <c:pt idx="817">
                  <c:v>-8.1866254812413253</c:v>
                </c:pt>
                <c:pt idx="818">
                  <c:v>-8.1866558551340578</c:v>
                </c:pt>
                <c:pt idx="819">
                  <c:v>-8.1866862287698829</c:v>
                </c:pt>
                <c:pt idx="820">
                  <c:v>-8.1867166021488096</c:v>
                </c:pt>
                <c:pt idx="821">
                  <c:v>-8.1867469752708342</c:v>
                </c:pt>
                <c:pt idx="822">
                  <c:v>-8.1867773481359514</c:v>
                </c:pt>
                <c:pt idx="823">
                  <c:v>-8.1868077207441736</c:v>
                </c:pt>
                <c:pt idx="824">
                  <c:v>-8.1868380930954903</c:v>
                </c:pt>
                <c:pt idx="825">
                  <c:v>-8.1868684651899102</c:v>
                </c:pt>
                <c:pt idx="826">
                  <c:v>-8.186898837027428</c:v>
                </c:pt>
                <c:pt idx="827">
                  <c:v>-8.1869292086080439</c:v>
                </c:pt>
                <c:pt idx="828">
                  <c:v>-8.1869595799317665</c:v>
                </c:pt>
                <c:pt idx="829">
                  <c:v>-8.1869899509985835</c:v>
                </c:pt>
                <c:pt idx="830">
                  <c:v>-8.1870203218085056</c:v>
                </c:pt>
                <c:pt idx="831">
                  <c:v>-8.1870506923615274</c:v>
                </c:pt>
                <c:pt idx="832">
                  <c:v>-8.1870810626576525</c:v>
                </c:pt>
                <c:pt idx="833">
                  <c:v>-8.1871114326968808</c:v>
                </c:pt>
                <c:pt idx="834">
                  <c:v>-8.187141802479216</c:v>
                </c:pt>
                <c:pt idx="835">
                  <c:v>-8.1871721720046509</c:v>
                </c:pt>
                <c:pt idx="836">
                  <c:v>-8.1872025412731908</c:v>
                </c:pt>
                <c:pt idx="837">
                  <c:v>-8.1872329102848322</c:v>
                </c:pt>
                <c:pt idx="838">
                  <c:v>-8.1872632790395823</c:v>
                </c:pt>
                <c:pt idx="839">
                  <c:v>-8.1872936475374374</c:v>
                </c:pt>
                <c:pt idx="840">
                  <c:v>-8.1873240157784011</c:v>
                </c:pt>
                <c:pt idx="841">
                  <c:v>-8.1873543837624645</c:v>
                </c:pt>
                <c:pt idx="842">
                  <c:v>-8.1873847514896383</c:v>
                </c:pt>
                <c:pt idx="843">
                  <c:v>-8.1874151189599136</c:v>
                </c:pt>
                <c:pt idx="844">
                  <c:v>-8.1874454861733046</c:v>
                </c:pt>
                <c:pt idx="845">
                  <c:v>-8.1874758531298024</c:v>
                </c:pt>
                <c:pt idx="846">
                  <c:v>-8.1875062198294017</c:v>
                </c:pt>
                <c:pt idx="847">
                  <c:v>-8.187536586272115</c:v>
                </c:pt>
                <c:pt idx="848">
                  <c:v>-8.1875669524579369</c:v>
                </c:pt>
                <c:pt idx="849">
                  <c:v>-8.187597318386862</c:v>
                </c:pt>
                <c:pt idx="850">
                  <c:v>-8.1876276840589011</c:v>
                </c:pt>
                <c:pt idx="851">
                  <c:v>-8.1876580494740541</c:v>
                </c:pt>
                <c:pt idx="852">
                  <c:v>-8.1876884146323139</c:v>
                </c:pt>
                <c:pt idx="853">
                  <c:v>-8.1877187795336841</c:v>
                </c:pt>
                <c:pt idx="854">
                  <c:v>-8.1877491441781665</c:v>
                </c:pt>
                <c:pt idx="855">
                  <c:v>-8.1877795085657663</c:v>
                </c:pt>
                <c:pt idx="856">
                  <c:v>-8.187809872696473</c:v>
                </c:pt>
                <c:pt idx="857">
                  <c:v>-8.1878402365702971</c:v>
                </c:pt>
                <c:pt idx="858">
                  <c:v>-8.1878706001872299</c:v>
                </c:pt>
                <c:pt idx="859">
                  <c:v>-8.1879009635472766</c:v>
                </c:pt>
                <c:pt idx="860">
                  <c:v>-8.1879313266504319</c:v>
                </c:pt>
                <c:pt idx="861">
                  <c:v>-8.1879616894967082</c:v>
                </c:pt>
                <c:pt idx="862">
                  <c:v>-8.187992052086102</c:v>
                </c:pt>
                <c:pt idx="863">
                  <c:v>-8.1880224144186062</c:v>
                </c:pt>
                <c:pt idx="864">
                  <c:v>-8.1880527764942279</c:v>
                </c:pt>
                <c:pt idx="865">
                  <c:v>-8.1880831383129671</c:v>
                </c:pt>
                <c:pt idx="866">
                  <c:v>-8.1881134998748184</c:v>
                </c:pt>
                <c:pt idx="867">
                  <c:v>-8.1881438611797837</c:v>
                </c:pt>
                <c:pt idx="868">
                  <c:v>-8.1881742222278699</c:v>
                </c:pt>
                <c:pt idx="869">
                  <c:v>-8.1882045830190755</c:v>
                </c:pt>
                <c:pt idx="870">
                  <c:v>-8.1882349435534003</c:v>
                </c:pt>
                <c:pt idx="871">
                  <c:v>-8.1882653038308355</c:v>
                </c:pt>
                <c:pt idx="872">
                  <c:v>-8.1882956638513988</c:v>
                </c:pt>
                <c:pt idx="873">
                  <c:v>-8.1883260236150797</c:v>
                </c:pt>
                <c:pt idx="874">
                  <c:v>-8.188356383121878</c:v>
                </c:pt>
                <c:pt idx="875">
                  <c:v>-8.1883867423717955</c:v>
                </c:pt>
                <c:pt idx="876">
                  <c:v>-8.1884171013648359</c:v>
                </c:pt>
                <c:pt idx="877">
                  <c:v>-8.1884474601010027</c:v>
                </c:pt>
                <c:pt idx="878">
                  <c:v>-8.1884778185802798</c:v>
                </c:pt>
                <c:pt idx="879">
                  <c:v>-8.1885081768026851</c:v>
                </c:pt>
                <c:pt idx="880">
                  <c:v>-8.1885385347682149</c:v>
                </c:pt>
                <c:pt idx="881">
                  <c:v>-8.1885688924768605</c:v>
                </c:pt>
                <c:pt idx="882">
                  <c:v>-8.1885992499286324</c:v>
                </c:pt>
                <c:pt idx="883">
                  <c:v>-8.1886296071235307</c:v>
                </c:pt>
                <c:pt idx="884">
                  <c:v>-8.1886599640615483</c:v>
                </c:pt>
                <c:pt idx="885">
                  <c:v>-8.1886903207426922</c:v>
                </c:pt>
                <c:pt idx="886">
                  <c:v>-8.188720677166959</c:v>
                </c:pt>
                <c:pt idx="887">
                  <c:v>-8.1887510333343538</c:v>
                </c:pt>
                <c:pt idx="888">
                  <c:v>-8.1887813892448715</c:v>
                </c:pt>
                <c:pt idx="889">
                  <c:v>-8.1888117448985192</c:v>
                </c:pt>
                <c:pt idx="890">
                  <c:v>-8.1888421002952878</c:v>
                </c:pt>
                <c:pt idx="891">
                  <c:v>-8.1888724554351864</c:v>
                </c:pt>
                <c:pt idx="892">
                  <c:v>-8.1889028103182113</c:v>
                </c:pt>
                <c:pt idx="893">
                  <c:v>-8.1889331649443609</c:v>
                </c:pt>
                <c:pt idx="894">
                  <c:v>-8.1889635193136403</c:v>
                </c:pt>
                <c:pt idx="895">
                  <c:v>-8.1889938734260515</c:v>
                </c:pt>
                <c:pt idx="896">
                  <c:v>-8.1890242272815854</c:v>
                </c:pt>
                <c:pt idx="897">
                  <c:v>-8.1890545808802493</c:v>
                </c:pt>
                <c:pt idx="898">
                  <c:v>-8.1890849342220431</c:v>
                </c:pt>
                <c:pt idx="899">
                  <c:v>-8.1891152873069757</c:v>
                </c:pt>
                <c:pt idx="900">
                  <c:v>-8.1891456401350347</c:v>
                </c:pt>
                <c:pt idx="901">
                  <c:v>-8.1891759927062164</c:v>
                </c:pt>
                <c:pt idx="902">
                  <c:v>-8.1892063450205335</c:v>
                </c:pt>
                <c:pt idx="903">
                  <c:v>-8.1892366970779893</c:v>
                </c:pt>
                <c:pt idx="904">
                  <c:v>-8.1892670488785733</c:v>
                </c:pt>
                <c:pt idx="905">
                  <c:v>-8.1892974004222836</c:v>
                </c:pt>
                <c:pt idx="906">
                  <c:v>-8.189327751709131</c:v>
                </c:pt>
                <c:pt idx="907">
                  <c:v>-8.1893581027391171</c:v>
                </c:pt>
                <c:pt idx="908">
                  <c:v>-8.1893884535122314</c:v>
                </c:pt>
                <c:pt idx="909">
                  <c:v>-8.189418804028481</c:v>
                </c:pt>
                <c:pt idx="910">
                  <c:v>-8.1894491542878658</c:v>
                </c:pt>
                <c:pt idx="911">
                  <c:v>-8.1894795042903841</c:v>
                </c:pt>
                <c:pt idx="912">
                  <c:v>-8.1895098540360394</c:v>
                </c:pt>
                <c:pt idx="913">
                  <c:v>-8.1895402035248299</c:v>
                </c:pt>
                <c:pt idx="914">
                  <c:v>-8.1895705527567593</c:v>
                </c:pt>
                <c:pt idx="915">
                  <c:v>-8.1896009017318168</c:v>
                </c:pt>
                <c:pt idx="916">
                  <c:v>-8.1896312504500219</c:v>
                </c:pt>
                <c:pt idx="917">
                  <c:v>-8.189661598911357</c:v>
                </c:pt>
                <c:pt idx="918">
                  <c:v>-8.1896919471158345</c:v>
                </c:pt>
                <c:pt idx="919">
                  <c:v>-8.189722295063449</c:v>
                </c:pt>
                <c:pt idx="920">
                  <c:v>-8.1897526427542022</c:v>
                </c:pt>
                <c:pt idx="921">
                  <c:v>-8.1897829901880961</c:v>
                </c:pt>
                <c:pt idx="922">
                  <c:v>-8.189813337365127</c:v>
                </c:pt>
                <c:pt idx="923">
                  <c:v>-8.1898436842852949</c:v>
                </c:pt>
                <c:pt idx="924">
                  <c:v>-8.1898740309486122</c:v>
                </c:pt>
                <c:pt idx="925">
                  <c:v>-8.1899043773550648</c:v>
                </c:pt>
                <c:pt idx="926">
                  <c:v>-8.1899347235046527</c:v>
                </c:pt>
                <c:pt idx="927">
                  <c:v>-8.1899650693973918</c:v>
                </c:pt>
                <c:pt idx="928">
                  <c:v>-8.1899954150332679</c:v>
                </c:pt>
                <c:pt idx="929">
                  <c:v>-8.1900257604122846</c:v>
                </c:pt>
                <c:pt idx="930">
                  <c:v>-8.1900561055344525</c:v>
                </c:pt>
                <c:pt idx="931">
                  <c:v>-8.1900864503997575</c:v>
                </c:pt>
                <c:pt idx="932">
                  <c:v>-8.1901167950082048</c:v>
                </c:pt>
                <c:pt idx="933">
                  <c:v>-8.1901471393598015</c:v>
                </c:pt>
                <c:pt idx="934">
                  <c:v>-8.1901774834545407</c:v>
                </c:pt>
                <c:pt idx="935">
                  <c:v>-8.1902078272924239</c:v>
                </c:pt>
                <c:pt idx="936">
                  <c:v>-8.1902381708734531</c:v>
                </c:pt>
                <c:pt idx="937">
                  <c:v>-8.1902685141976299</c:v>
                </c:pt>
                <c:pt idx="938">
                  <c:v>-8.1902988572649491</c:v>
                </c:pt>
                <c:pt idx="939">
                  <c:v>-8.1903292000754195</c:v>
                </c:pt>
                <c:pt idx="940">
                  <c:v>-8.1903595426290341</c:v>
                </c:pt>
                <c:pt idx="941">
                  <c:v>-8.1903898849257928</c:v>
                </c:pt>
                <c:pt idx="942">
                  <c:v>-8.1904202269657027</c:v>
                </c:pt>
                <c:pt idx="943">
                  <c:v>-8.1904505687487639</c:v>
                </c:pt>
                <c:pt idx="944">
                  <c:v>-8.1904809102749709</c:v>
                </c:pt>
                <c:pt idx="945">
                  <c:v>-8.190511251544331</c:v>
                </c:pt>
                <c:pt idx="946">
                  <c:v>-8.190541592556837</c:v>
                </c:pt>
                <c:pt idx="947">
                  <c:v>-8.1905719333124924</c:v>
                </c:pt>
                <c:pt idx="948">
                  <c:v>-8.1906022738112974</c:v>
                </c:pt>
                <c:pt idx="949">
                  <c:v>-8.190632614053257</c:v>
                </c:pt>
                <c:pt idx="950">
                  <c:v>-8.1906629540383662</c:v>
                </c:pt>
                <c:pt idx="951">
                  <c:v>-8.190693293766623</c:v>
                </c:pt>
                <c:pt idx="952">
                  <c:v>-8.1907236332380347</c:v>
                </c:pt>
                <c:pt idx="953">
                  <c:v>-8.1907539724526028</c:v>
                </c:pt>
                <c:pt idx="954">
                  <c:v>-8.1907843114103205</c:v>
                </c:pt>
                <c:pt idx="955">
                  <c:v>-8.1908146501111894</c:v>
                </c:pt>
                <c:pt idx="956">
                  <c:v>-8.190844988555213</c:v>
                </c:pt>
                <c:pt idx="957">
                  <c:v>-8.190875326742395</c:v>
                </c:pt>
                <c:pt idx="958">
                  <c:v>-8.1909056646727265</c:v>
                </c:pt>
                <c:pt idx="959">
                  <c:v>-8.1909360023462163</c:v>
                </c:pt>
                <c:pt idx="960">
                  <c:v>-8.1909663397628556</c:v>
                </c:pt>
                <c:pt idx="961">
                  <c:v>-8.1909966769226585</c:v>
                </c:pt>
                <c:pt idx="962">
                  <c:v>-8.191027013825618</c:v>
                </c:pt>
                <c:pt idx="963">
                  <c:v>-8.1910573504717306</c:v>
                </c:pt>
                <c:pt idx="964">
                  <c:v>-8.1910876868609979</c:v>
                </c:pt>
                <c:pt idx="965">
                  <c:v>-8.1911180229934217</c:v>
                </c:pt>
                <c:pt idx="966">
                  <c:v>-8.1911483588690075</c:v>
                </c:pt>
                <c:pt idx="967">
                  <c:v>-8.1911786944877445</c:v>
                </c:pt>
                <c:pt idx="968">
                  <c:v>-8.1912090298496523</c:v>
                </c:pt>
                <c:pt idx="969">
                  <c:v>-8.1912393649547131</c:v>
                </c:pt>
                <c:pt idx="970">
                  <c:v>-8.1912696998029286</c:v>
                </c:pt>
                <c:pt idx="971">
                  <c:v>-8.191300034394315</c:v>
                </c:pt>
                <c:pt idx="972">
                  <c:v>-8.1913303687288526</c:v>
                </c:pt>
                <c:pt idx="973">
                  <c:v>-8.1913607028065538</c:v>
                </c:pt>
                <c:pt idx="974">
                  <c:v>-8.1913910366274152</c:v>
                </c:pt>
                <c:pt idx="975">
                  <c:v>-8.1914213701914402</c:v>
                </c:pt>
                <c:pt idx="976">
                  <c:v>-8.1914517034986236</c:v>
                </c:pt>
                <c:pt idx="977">
                  <c:v>-8.191482036548976</c:v>
                </c:pt>
                <c:pt idx="978">
                  <c:v>-8.1915123693424867</c:v>
                </c:pt>
                <c:pt idx="979">
                  <c:v>-8.1915427018791576</c:v>
                </c:pt>
                <c:pt idx="980">
                  <c:v>-8.1915730341589956</c:v>
                </c:pt>
                <c:pt idx="981">
                  <c:v>-8.1916033661819956</c:v>
                </c:pt>
                <c:pt idx="982">
                  <c:v>-8.1916336979481681</c:v>
                </c:pt>
                <c:pt idx="983">
                  <c:v>-8.1916640294574972</c:v>
                </c:pt>
                <c:pt idx="984">
                  <c:v>-8.1916943607099935</c:v>
                </c:pt>
                <c:pt idx="985">
                  <c:v>-8.191724691705657</c:v>
                </c:pt>
                <c:pt idx="986">
                  <c:v>-8.1917550224444859</c:v>
                </c:pt>
                <c:pt idx="987">
                  <c:v>-8.1917853529264786</c:v>
                </c:pt>
                <c:pt idx="988">
                  <c:v>-8.191815683151642</c:v>
                </c:pt>
                <c:pt idx="989">
                  <c:v>-8.1918460131199708</c:v>
                </c:pt>
                <c:pt idx="990">
                  <c:v>-8.1918763428314687</c:v>
                </c:pt>
                <c:pt idx="991">
                  <c:v>-8.1919066722861391</c:v>
                </c:pt>
                <c:pt idx="992">
                  <c:v>-8.1919370014839714</c:v>
                </c:pt>
                <c:pt idx="993">
                  <c:v>-8.1919673304249745</c:v>
                </c:pt>
                <c:pt idx="994">
                  <c:v>-8.1919976591091466</c:v>
                </c:pt>
                <c:pt idx="995">
                  <c:v>-8.1920279875364912</c:v>
                </c:pt>
                <c:pt idx="996">
                  <c:v>-8.1920583157070048</c:v>
                </c:pt>
                <c:pt idx="997">
                  <c:v>-8.1920886436206892</c:v>
                </c:pt>
                <c:pt idx="998">
                  <c:v>-8.192118971277548</c:v>
                </c:pt>
                <c:pt idx="999">
                  <c:v>-8.1921492986775721</c:v>
                </c:pt>
                <c:pt idx="1000">
                  <c:v>-8.1921796258207671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3-45DE-97F3-E9553C4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168"/>
        <c:axId val="149577088"/>
      </c:scatterChart>
      <c:valAx>
        <c:axId val="14957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7088"/>
        <c:crosses val="autoZero"/>
        <c:crossBetween val="midCat"/>
      </c:valAx>
      <c:valAx>
        <c:axId val="1495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7E-2"/>
              <c:y val="0.29738652668416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95018075570744"/>
          <c:y val="0.25777777777777783"/>
          <c:w val="0.30974867528351424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111.04</c:v>
                </c:pt>
                <c:pt idx="1">
                  <c:v>111.2565849077789</c:v>
                </c:pt>
                <c:pt idx="2">
                  <c:v>111.47355039057123</c:v>
                </c:pt>
                <c:pt idx="3">
                  <c:v>111.69124665032949</c:v>
                </c:pt>
                <c:pt idx="4">
                  <c:v>111.90973795019553</c:v>
                </c:pt>
                <c:pt idx="5">
                  <c:v>112.1289643045625</c:v>
                </c:pt>
                <c:pt idx="6">
                  <c:v>112.34890352377653</c:v>
                </c:pt>
                <c:pt idx="7">
                  <c:v>112.56955233403268</c:v>
                </c:pt>
                <c:pt idx="8">
                  <c:v>112.79090745503885</c:v>
                </c:pt>
                <c:pt idx="9">
                  <c:v>113.01296560008456</c:v>
                </c:pt>
                <c:pt idx="10">
                  <c:v>113.23572347610924</c:v>
                </c:pt>
                <c:pt idx="11">
                  <c:v>113.45917778377009</c:v>
                </c:pt>
                <c:pt idx="12">
                  <c:v>113.68332521750925</c:v>
                </c:pt>
                <c:pt idx="13">
                  <c:v>113.90816246562068</c:v>
                </c:pt>
                <c:pt idx="14">
                  <c:v>114.13368621031638</c:v>
                </c:pt>
                <c:pt idx="15">
                  <c:v>114.35989312779226</c:v>
                </c:pt>
                <c:pt idx="16">
                  <c:v>114.58677988829336</c:v>
                </c:pt>
                <c:pt idx="17">
                  <c:v>114.81434315617874</c:v>
                </c:pt>
                <c:pt idx="18">
                  <c:v>115.04257958998575</c:v>
                </c:pt>
                <c:pt idx="19">
                  <c:v>115.27148584249395</c:v>
                </c:pt>
                <c:pt idx="20">
                  <c:v>115.50105856078842</c:v>
                </c:pt>
                <c:pt idx="21">
                  <c:v>115.73129438632274</c:v>
                </c:pt>
                <c:pt idx="22">
                  <c:v>115.96218995498134</c:v>
                </c:pt>
                <c:pt idx="23">
                  <c:v>116.19374189714146</c:v>
                </c:pt>
                <c:pt idx="24">
                  <c:v>116.42594683773473</c:v>
                </c:pt>
                <c:pt idx="25">
                  <c:v>116.65880139630808</c:v>
                </c:pt>
                <c:pt idx="26">
                  <c:v>116.89230218708437</c:v>
                </c:pt>
                <c:pt idx="27">
                  <c:v>117.12644581902248</c:v>
                </c:pt>
                <c:pt idx="28">
                  <c:v>117.36122889587696</c:v>
                </c:pt>
                <c:pt idx="29">
                  <c:v>117.59664801625721</c:v>
                </c:pt>
                <c:pt idx="30">
                  <c:v>117.83269977368619</c:v>
                </c:pt>
                <c:pt idx="31">
                  <c:v>118.06938075665877</c:v>
                </c:pt>
                <c:pt idx="32">
                  <c:v>118.30668754869954</c:v>
                </c:pt>
                <c:pt idx="33">
                  <c:v>118.54461672842017</c:v>
                </c:pt>
                <c:pt idx="34">
                  <c:v>118.7831648695764</c:v>
                </c:pt>
                <c:pt idx="35">
                  <c:v>119.02232854112451</c:v>
                </c:pt>
                <c:pt idx="36">
                  <c:v>119.26210430727741</c:v>
                </c:pt>
                <c:pt idx="37">
                  <c:v>119.50248872756029</c:v>
                </c:pt>
                <c:pt idx="38">
                  <c:v>119.74347835686574</c:v>
                </c:pt>
                <c:pt idx="39">
                  <c:v>119.98506974550855</c:v>
                </c:pt>
                <c:pt idx="40">
                  <c:v>120.22725943928006</c:v>
                </c:pt>
                <c:pt idx="41">
                  <c:v>120.47004397950198</c:v>
                </c:pt>
                <c:pt idx="42">
                  <c:v>120.71341990307992</c:v>
                </c:pt>
                <c:pt idx="43">
                  <c:v>120.95738374255642</c:v>
                </c:pt>
                <c:pt idx="44">
                  <c:v>121.20193202616349</c:v>
                </c:pt>
                <c:pt idx="45">
                  <c:v>121.44706127787488</c:v>
                </c:pt>
                <c:pt idx="46">
                  <c:v>121.69276801745782</c:v>
                </c:pt>
                <c:pt idx="47">
                  <c:v>121.93904876052434</c:v>
                </c:pt>
                <c:pt idx="48">
                  <c:v>122.18590001858223</c:v>
                </c:pt>
                <c:pt idx="49">
                  <c:v>122.43331829908551</c:v>
                </c:pt>
                <c:pt idx="50">
                  <c:v>122.68130010548457</c:v>
                </c:pt>
                <c:pt idx="51">
                  <c:v>122.92984193727578</c:v>
                </c:pt>
                <c:pt idx="52">
                  <c:v>123.17894029005085</c:v>
                </c:pt>
                <c:pt idx="53">
                  <c:v>123.42859165554557</c:v>
                </c:pt>
                <c:pt idx="54">
                  <c:v>123.67879252168837</c:v>
                </c:pt>
                <c:pt idx="55">
                  <c:v>123.92953937264824</c:v>
                </c:pt>
                <c:pt idx="56">
                  <c:v>124.18082868888244</c:v>
                </c:pt>
                <c:pt idx="57">
                  <c:v>124.43265694718373</c:v>
                </c:pt>
                <c:pt idx="58">
                  <c:v>124.68502062072712</c:v>
                </c:pt>
                <c:pt idx="59">
                  <c:v>124.93791617911631</c:v>
                </c:pt>
                <c:pt idx="60">
                  <c:v>125.19134008842975</c:v>
                </c:pt>
                <c:pt idx="61">
                  <c:v>125.4452888112662</c:v>
                </c:pt>
                <c:pt idx="62">
                  <c:v>125.69975880678993</c:v>
                </c:pt>
                <c:pt idx="63">
                  <c:v>125.95474482244197</c:v>
                </c:pt>
                <c:pt idx="64">
                  <c:v>126.21023818304089</c:v>
                </c:pt>
                <c:pt idx="65">
                  <c:v>126.46622849689538</c:v>
                </c:pt>
                <c:pt idx="66">
                  <c:v>126.72270536459675</c:v>
                </c:pt>
                <c:pt idx="67">
                  <c:v>126.97965680946224</c:v>
                </c:pt>
                <c:pt idx="68">
                  <c:v>127.23706770571232</c:v>
                </c:pt>
                <c:pt idx="69">
                  <c:v>127.49491855129882</c:v>
                </c:pt>
                <c:pt idx="70">
                  <c:v>127.75318423926404</c:v>
                </c:pt>
                <c:pt idx="71">
                  <c:v>128.01183685041022</c:v>
                </c:pt>
                <c:pt idx="72">
                  <c:v>128.27084845004725</c:v>
                </c:pt>
                <c:pt idx="73">
                  <c:v>128.530191088854</c:v>
                </c:pt>
                <c:pt idx="74">
                  <c:v>128.7898368037209</c:v>
                </c:pt>
                <c:pt idx="75">
                  <c:v>129.04975761857406</c:v>
                </c:pt>
                <c:pt idx="76">
                  <c:v>129.30992554518065</c:v>
                </c:pt>
                <c:pt idx="77">
                  <c:v>129.57031258393567</c:v>
                </c:pt>
                <c:pt idx="78">
                  <c:v>129.83089072463011</c:v>
                </c:pt>
                <c:pt idx="79">
                  <c:v>130.09163194720037</c:v>
                </c:pt>
                <c:pt idx="80">
                  <c:v>130.35250822245899</c:v>
                </c:pt>
                <c:pt idx="81">
                  <c:v>130.61349486239817</c:v>
                </c:pt>
                <c:pt idx="82">
                  <c:v>130.87457387364555</c:v>
                </c:pt>
                <c:pt idx="83">
                  <c:v>131.13573060998368</c:v>
                </c:pt>
                <c:pt idx="84">
                  <c:v>131.3969504214387</c:v>
                </c:pt>
                <c:pt idx="85">
                  <c:v>131.65821865444246</c:v>
                </c:pt>
                <c:pt idx="86">
                  <c:v>131.91952065198947</c:v>
                </c:pt>
                <c:pt idx="87">
                  <c:v>132.18084175378874</c:v>
                </c:pt>
                <c:pt idx="88">
                  <c:v>132.44216729641039</c:v>
                </c:pt>
                <c:pt idx="89">
                  <c:v>132.70348367708954</c:v>
                </c:pt>
                <c:pt idx="90">
                  <c:v>132.96477941841809</c:v>
                </c:pt>
                <c:pt idx="91">
                  <c:v>133.22604410512909</c:v>
                </c:pt>
                <c:pt idx="92">
                  <c:v>133.48726731994566</c:v>
                </c:pt>
                <c:pt idx="93">
                  <c:v>133.74843891026291</c:v>
                </c:pt>
                <c:pt idx="94">
                  <c:v>134.00954925504237</c:v>
                </c:pt>
                <c:pt idx="95">
                  <c:v>134.27058899828779</c:v>
                </c:pt>
                <c:pt idx="96">
                  <c:v>134.53154878229716</c:v>
                </c:pt>
                <c:pt idx="97">
                  <c:v>134.79242031706869</c:v>
                </c:pt>
                <c:pt idx="98">
                  <c:v>135.05319745053777</c:v>
                </c:pt>
                <c:pt idx="99">
                  <c:v>135.31387509945688</c:v>
                </c:pt>
                <c:pt idx="100">
                  <c:v>135.57444817942658</c:v>
                </c:pt>
                <c:pt idx="101">
                  <c:v>135.83491160488575</c:v>
                </c:pt>
                <c:pt idx="102">
                  <c:v>136.09526028910099</c:v>
                </c:pt>
                <c:pt idx="103">
                  <c:v>136.35548914415568</c:v>
                </c:pt>
                <c:pt idx="104">
                  <c:v>136.61559308093814</c:v>
                </c:pt>
                <c:pt idx="105">
                  <c:v>136.87556700912927</c:v>
                </c:pt>
                <c:pt idx="106">
                  <c:v>137.13540583718961</c:v>
                </c:pt>
                <c:pt idx="107">
                  <c:v>137.39510447234565</c:v>
                </c:pt>
                <c:pt idx="108">
                  <c:v>137.65465782057552</c:v>
                </c:pt>
                <c:pt idx="109">
                  <c:v>137.91406213391431</c:v>
                </c:pt>
                <c:pt idx="110">
                  <c:v>138.17331635878222</c:v>
                </c:pt>
                <c:pt idx="111">
                  <c:v>138.43242078893826</c:v>
                </c:pt>
                <c:pt idx="112">
                  <c:v>138.69137571741979</c:v>
                </c:pt>
                <c:pt idx="113">
                  <c:v>138.95018143654502</c:v>
                </c:pt>
                <c:pt idx="114">
                  <c:v>139.2088382379155</c:v>
                </c:pt>
                <c:pt idx="115">
                  <c:v>139.46734641241864</c:v>
                </c:pt>
                <c:pt idx="116">
                  <c:v>139.72570625023019</c:v>
                </c:pt>
                <c:pt idx="117">
                  <c:v>139.98391804081669</c:v>
                </c:pt>
                <c:pt idx="118">
                  <c:v>140.24198207293796</c:v>
                </c:pt>
                <c:pt idx="119">
                  <c:v>140.49989863464953</c:v>
                </c:pt>
                <c:pt idx="120">
                  <c:v>140.75766801330514</c:v>
                </c:pt>
                <c:pt idx="121">
                  <c:v>141.01529049555913</c:v>
                </c:pt>
                <c:pt idx="122">
                  <c:v>141.27276636736886</c:v>
                </c:pt>
                <c:pt idx="123">
                  <c:v>141.53009591399709</c:v>
                </c:pt>
                <c:pt idx="124">
                  <c:v>141.78727942001447</c:v>
                </c:pt>
                <c:pt idx="125">
                  <c:v>142.04431716930188</c:v>
                </c:pt>
                <c:pt idx="126">
                  <c:v>142.30120944505279</c:v>
                </c:pt>
                <c:pt idx="127">
                  <c:v>142.55795652977568</c:v>
                </c:pt>
                <c:pt idx="128">
                  <c:v>142.81455870529635</c:v>
                </c:pt>
                <c:pt idx="129">
                  <c:v>143.07101625276033</c:v>
                </c:pt>
                <c:pt idx="130">
                  <c:v>143.32732945263515</c:v>
                </c:pt>
                <c:pt idx="131">
                  <c:v>143.58349858471274</c:v>
                </c:pt>
                <c:pt idx="132">
                  <c:v>143.8395239281117</c:v>
                </c:pt>
                <c:pt idx="133">
                  <c:v>144.09540576127964</c:v>
                </c:pt>
                <c:pt idx="134">
                  <c:v>144.35114436199544</c:v>
                </c:pt>
                <c:pt idx="135">
                  <c:v>144.60674000737166</c:v>
                </c:pt>
                <c:pt idx="136">
                  <c:v>144.86219297385665</c:v>
                </c:pt>
                <c:pt idx="137">
                  <c:v>145.11750353723693</c:v>
                </c:pt>
                <c:pt idx="138">
                  <c:v>145.37267197263947</c:v>
                </c:pt>
                <c:pt idx="139">
                  <c:v>145.62769855453385</c:v>
                </c:pt>
                <c:pt idx="140">
                  <c:v>145.88258355673457</c:v>
                </c:pt>
                <c:pt idx="141">
                  <c:v>146.13732725240331</c:v>
                </c:pt>
                <c:pt idx="142">
                  <c:v>146.39192991405105</c:v>
                </c:pt>
                <c:pt idx="143">
                  <c:v>146.64639181354042</c:v>
                </c:pt>
                <c:pt idx="144">
                  <c:v>146.90071322208777</c:v>
                </c:pt>
                <c:pt idx="145">
                  <c:v>147.15489441026548</c:v>
                </c:pt>
                <c:pt idx="146">
                  <c:v>147.4089356480041</c:v>
                </c:pt>
                <c:pt idx="147">
                  <c:v>147.66283720459452</c:v>
                </c:pt>
                <c:pt idx="148">
                  <c:v>147.91659934869011</c:v>
                </c:pt>
                <c:pt idx="149">
                  <c:v>148.17022234830898</c:v>
                </c:pt>
                <c:pt idx="150">
                  <c:v>148.42370647083604</c:v>
                </c:pt>
                <c:pt idx="151">
                  <c:v>148.67705198302514</c:v>
                </c:pt>
                <c:pt idx="152">
                  <c:v>148.93025915100128</c:v>
                </c:pt>
                <c:pt idx="153">
                  <c:v>149.18332824026268</c:v>
                </c:pt>
                <c:pt idx="154">
                  <c:v>149.43625951568291</c:v>
                </c:pt>
                <c:pt idx="155">
                  <c:v>149.68905324151294</c:v>
                </c:pt>
                <c:pt idx="156">
                  <c:v>149.94170968138332</c:v>
                </c:pt>
                <c:pt idx="157">
                  <c:v>150.19422909830624</c:v>
                </c:pt>
                <c:pt idx="158">
                  <c:v>150.4466117546776</c:v>
                </c:pt>
                <c:pt idx="159">
                  <c:v>150.69885791227912</c:v>
                </c:pt>
                <c:pt idx="160">
                  <c:v>150.9509678322803</c:v>
                </c:pt>
                <c:pt idx="161">
                  <c:v>151.20294177524059</c:v>
                </c:pt>
                <c:pt idx="162">
                  <c:v>151.4547800011114</c:v>
                </c:pt>
                <c:pt idx="163">
                  <c:v>151.70648276923811</c:v>
                </c:pt>
                <c:pt idx="164">
                  <c:v>151.95805033836209</c:v>
                </c:pt>
                <c:pt idx="165">
                  <c:v>152.20948296662277</c:v>
                </c:pt>
                <c:pt idx="166">
                  <c:v>152.46078091155968</c:v>
                </c:pt>
                <c:pt idx="167">
                  <c:v>152.71194443011433</c:v>
                </c:pt>
                <c:pt idx="168">
                  <c:v>152.96297377863229</c:v>
                </c:pt>
                <c:pt idx="169">
                  <c:v>153.21386921286521</c:v>
                </c:pt>
                <c:pt idx="170">
                  <c:v>153.4646309879727</c:v>
                </c:pt>
                <c:pt idx="171">
                  <c:v>153.71525935852441</c:v>
                </c:pt>
                <c:pt idx="172">
                  <c:v>153.9657545785019</c:v>
                </c:pt>
                <c:pt idx="173">
                  <c:v>154.21611690130067</c:v>
                </c:pt>
                <c:pt idx="174">
                  <c:v>154.46634657973203</c:v>
                </c:pt>
                <c:pt idx="175">
                  <c:v>154.71644386602512</c:v>
                </c:pt>
                <c:pt idx="176">
                  <c:v>154.96640901182874</c:v>
                </c:pt>
                <c:pt idx="177">
                  <c:v>155.21624226821342</c:v>
                </c:pt>
                <c:pt idx="178">
                  <c:v>155.4659438856732</c:v>
                </c:pt>
                <c:pt idx="179">
                  <c:v>155.71551411412759</c:v>
                </c:pt>
                <c:pt idx="180">
                  <c:v>155.96495320292345</c:v>
                </c:pt>
                <c:pt idx="181">
                  <c:v>156.21426140083696</c:v>
                </c:pt>
                <c:pt idx="182">
                  <c:v>156.46343895607538</c:v>
                </c:pt>
                <c:pt idx="183">
                  <c:v>156.712486116279</c:v>
                </c:pt>
                <c:pt idx="184">
                  <c:v>156.96140312852302</c:v>
                </c:pt>
                <c:pt idx="185">
                  <c:v>157.21019023931939</c:v>
                </c:pt>
                <c:pt idx="186">
                  <c:v>157.45884769461867</c:v>
                </c:pt>
                <c:pt idx="187">
                  <c:v>157.70737573981182</c:v>
                </c:pt>
                <c:pt idx="188">
                  <c:v>157.95577461973215</c:v>
                </c:pt>
                <c:pt idx="189">
                  <c:v>158.20404457865703</c:v>
                </c:pt>
                <c:pt idx="190">
                  <c:v>158.45218586030984</c:v>
                </c:pt>
                <c:pt idx="191">
                  <c:v>158.70019870786166</c:v>
                </c:pt>
                <c:pt idx="192">
                  <c:v>158.94808336393316</c:v>
                </c:pt>
                <c:pt idx="193">
                  <c:v>159.1958400705964</c:v>
                </c:pt>
                <c:pt idx="194">
                  <c:v>159.44346906937659</c:v>
                </c:pt>
                <c:pt idx="195">
                  <c:v>159.69097060125389</c:v>
                </c:pt>
                <c:pt idx="196">
                  <c:v>159.93834490666521</c:v>
                </c:pt>
                <c:pt idx="197">
                  <c:v>160.1855922255059</c:v>
                </c:pt>
                <c:pt idx="198">
                  <c:v>160.43271279713167</c:v>
                </c:pt>
                <c:pt idx="199">
                  <c:v>160.67970686036023</c:v>
                </c:pt>
                <c:pt idx="200">
                  <c:v>160.92657465347307</c:v>
                </c:pt>
                <c:pt idx="201">
                  <c:v>163.38832614762683</c:v>
                </c:pt>
                <c:pt idx="202">
                  <c:v>165.83760420987562</c:v>
                </c:pt>
                <c:pt idx="203">
                  <c:v>168.27464209296832</c:v>
                </c:pt>
                <c:pt idx="204">
                  <c:v>170.69966791465134</c:v>
                </c:pt>
                <c:pt idx="205">
                  <c:v>173.11290482106256</c:v>
                </c:pt>
                <c:pt idx="206">
                  <c:v>175.51457114376782</c:v>
                </c:pt>
                <c:pt idx="207">
                  <c:v>177.90488055073661</c:v>
                </c:pt>
                <c:pt idx="208">
                  <c:v>180.28404219153688</c:v>
                </c:pt>
                <c:pt idx="209">
                  <c:v>182.6522608370143</c:v>
                </c:pt>
                <c:pt idx="210">
                  <c:v>185.00973701370617</c:v>
                </c:pt>
                <c:pt idx="211">
                  <c:v>187.35666713322786</c:v>
                </c:pt>
                <c:pt idx="212">
                  <c:v>189.69324361685625</c:v>
                </c:pt>
                <c:pt idx="213">
                  <c:v>192.01965501552311</c:v>
                </c:pt>
                <c:pt idx="214">
                  <c:v>194.33608612542028</c:v>
                </c:pt>
                <c:pt idx="215">
                  <c:v>196.64271809940792</c:v>
                </c:pt>
                <c:pt idx="216">
                  <c:v>198.93972855440705</c:v>
                </c:pt>
                <c:pt idx="217">
                  <c:v>201.22729167494879</c:v>
                </c:pt>
                <c:pt idx="218">
                  <c:v>203.50557831304317</c:v>
                </c:pt>
                <c:pt idx="219">
                  <c:v>205.77475608452283</c:v>
                </c:pt>
                <c:pt idx="220">
                  <c:v>208.03498946200847</c:v>
                </c:pt>
                <c:pt idx="221">
                  <c:v>210.28643986463587</c:v>
                </c:pt>
                <c:pt idx="222">
                  <c:v>212.52926574467736</c:v>
                </c:pt>
                <c:pt idx="223">
                  <c:v>214.76362267118344</c:v>
                </c:pt>
                <c:pt idx="224">
                  <c:v>216.98966341076465</c:v>
                </c:pt>
                <c:pt idx="225">
                  <c:v>219.20753800562744</c:v>
                </c:pt>
                <c:pt idx="226">
                  <c:v>221.4173938489721</c:v>
                </c:pt>
                <c:pt idx="227">
                  <c:v>223.61937575785583</c:v>
                </c:pt>
                <c:pt idx="228">
                  <c:v>225.8136260436184</c:v>
                </c:pt>
                <c:pt idx="229">
                  <c:v>228.00028457996353</c:v>
                </c:pt>
                <c:pt idx="230">
                  <c:v>230.17948886878412</c:v>
                </c:pt>
                <c:pt idx="231">
                  <c:v>232.35137410381523</c:v>
                </c:pt>
                <c:pt idx="232">
                  <c:v>234.5160732321946</c:v>
                </c:pt>
                <c:pt idx="233">
                  <c:v>236.67371701400617</c:v>
                </c:pt>
                <c:pt idx="234">
                  <c:v>238.82443407987887</c:v>
                </c:pt>
                <c:pt idx="235">
                  <c:v>240.96835098670826</c:v>
                </c:pt>
                <c:pt idx="236">
                  <c:v>243.10559227156628</c:v>
                </c:pt>
                <c:pt idx="237">
                  <c:v>245.23628050385997</c:v>
                </c:pt>
                <c:pt idx="238">
                  <c:v>247.36053633579743</c:v>
                </c:pt>
                <c:pt idx="239">
                  <c:v>249.47847855121557</c:v>
                </c:pt>
                <c:pt idx="240">
                  <c:v>251.59022411282183</c:v>
                </c:pt>
                <c:pt idx="241">
                  <c:v>253.69588820789849</c:v>
                </c:pt>
                <c:pt idx="242">
                  <c:v>255.79558429251563</c:v>
                </c:pt>
                <c:pt idx="243">
                  <c:v>257.88942413429584</c:v>
                </c:pt>
                <c:pt idx="244">
                  <c:v>259.9775178537713</c:v>
                </c:pt>
                <c:pt idx="245">
                  <c:v>262.05997396437056</c:v>
                </c:pt>
                <c:pt idx="246">
                  <c:v>264.13689941107077</c:v>
                </c:pt>
                <c:pt idx="247">
                  <c:v>266.20839960774691</c:v>
                </c:pt>
                <c:pt idx="248">
                  <c:v>268.27457847324871</c:v>
                </c:pt>
                <c:pt idx="249">
                  <c:v>270.3355384662317</c:v>
                </c:pt>
                <c:pt idx="250">
                  <c:v>272.39138061876764</c:v>
                </c:pt>
                <c:pt idx="251">
                  <c:v>274.44220456875559</c:v>
                </c:pt>
                <c:pt idx="252">
                  <c:v>276.48810859115326</c:v>
                </c:pt>
                <c:pt idx="253">
                  <c:v>278.52918962804506</c:v>
                </c:pt>
                <c:pt idx="254">
                  <c:v>280.5655433175603</c:v>
                </c:pt>
                <c:pt idx="255">
                  <c:v>282.59726402165262</c:v>
                </c:pt>
                <c:pt idx="256">
                  <c:v>284.62444485274813</c:v>
                </c:pt>
                <c:pt idx="257">
                  <c:v>286.64717769926676</c:v>
                </c:pt>
                <c:pt idx="258">
                  <c:v>288.66555325001889</c:v>
                </c:pt>
                <c:pt idx="259">
                  <c:v>290.67966101747413</c:v>
                </c:pt>
                <c:pt idx="260">
                  <c:v>292.68958935989718</c:v>
                </c:pt>
                <c:pt idx="261">
                  <c:v>294.69542550234104</c:v>
                </c:pt>
                <c:pt idx="262">
                  <c:v>296.69725555648353</c:v>
                </c:pt>
                <c:pt idx="263">
                  <c:v>298.69516453928901</c:v>
                </c:pt>
                <c:pt idx="264">
                  <c:v>300.68923639047262</c:v>
                </c:pt>
                <c:pt idx="265">
                  <c:v>302.67955398873818</c:v>
                </c:pt>
                <c:pt idx="266">
                  <c:v>304.66619916675666</c:v>
                </c:pt>
                <c:pt idx="267">
                  <c:v>306.64925272484527</c:v>
                </c:pt>
                <c:pt idx="268">
                  <c:v>308.62879444330054</c:v>
                </c:pt>
                <c:pt idx="269">
                  <c:v>310.6049030933321</c:v>
                </c:pt>
                <c:pt idx="270">
                  <c:v>312.57765644653557</c:v>
                </c:pt>
                <c:pt idx="271">
                  <c:v>314.54713128283458</c:v>
                </c:pt>
                <c:pt idx="272">
                  <c:v>316.51340339681246</c:v>
                </c:pt>
                <c:pt idx="273">
                  <c:v>318.47654760234371</c:v>
                </c:pt>
                <c:pt idx="274">
                  <c:v>320.43663773542471</c:v>
                </c:pt>
                <c:pt idx="275">
                  <c:v>322.39374665508939</c:v>
                </c:pt>
                <c:pt idx="276">
                  <c:v>324.34794624228351</c:v>
                </c:pt>
                <c:pt idx="277">
                  <c:v>326.29930739655561</c:v>
                </c:pt>
                <c:pt idx="278">
                  <c:v>328.2479000304067</c:v>
                </c:pt>
                <c:pt idx="279">
                  <c:v>330.19379306112279</c:v>
                </c:pt>
                <c:pt idx="280">
                  <c:v>332.13705439989667</c:v>
                </c:pt>
                <c:pt idx="281">
                  <c:v>334.07775093802309</c:v>
                </c:pt>
                <c:pt idx="282">
                  <c:v>336.01594852993117</c:v>
                </c:pt>
                <c:pt idx="283">
                  <c:v>337.95171197279404</c:v>
                </c:pt>
                <c:pt idx="284">
                  <c:v>339.88510498243153</c:v>
                </c:pt>
                <c:pt idx="285">
                  <c:v>341.81619016519721</c:v>
                </c:pt>
                <c:pt idx="286">
                  <c:v>343.74502898551532</c:v>
                </c:pt>
                <c:pt idx="287">
                  <c:v>345.6716817287097</c:v>
                </c:pt>
                <c:pt idx="288">
                  <c:v>347.59620745874344</c:v>
                </c:pt>
                <c:pt idx="289">
                  <c:v>349.51866397046865</c:v>
                </c:pt>
                <c:pt idx="290">
                  <c:v>351.4391077359719</c:v>
                </c:pt>
                <c:pt idx="291">
                  <c:v>353.35759384459413</c:v>
                </c:pt>
                <c:pt idx="292">
                  <c:v>355.27417593620925</c:v>
                </c:pt>
                <c:pt idx="293">
                  <c:v>357.18890612736493</c:v>
                </c:pt>
                <c:pt idx="294">
                  <c:v>359.10183492993116</c:v>
                </c:pt>
                <c:pt idx="295">
                  <c:v>361.01301116196697</c:v>
                </c:pt>
                <c:pt idx="296">
                  <c:v>362.92248185061806</c:v>
                </c:pt>
                <c:pt idx="297">
                  <c:v>364.83029212699716</c:v>
                </c:pt>
                <c:pt idx="298">
                  <c:v>366.73648511318834</c:v>
                </c:pt>
                <c:pt idx="299">
                  <c:v>368.64110180176004</c:v>
                </c:pt>
                <c:pt idx="300">
                  <c:v>370.54418092847476</c:v>
                </c:pt>
                <c:pt idx="301">
                  <c:v>372.44575883924836</c:v>
                </c:pt>
                <c:pt idx="302">
                  <c:v>374.34586935283323</c:v>
                </c:pt>
                <c:pt idx="303">
                  <c:v>376.24454362116677</c:v>
                </c:pt>
                <c:pt idx="304">
                  <c:v>378.141809989818</c:v>
                </c:pt>
                <c:pt idx="305">
                  <c:v>380.03769386144688</c:v>
                </c:pt>
                <c:pt idx="306">
                  <c:v>381.93221756562258</c:v>
                </c:pt>
                <c:pt idx="307">
                  <c:v>383.82540023867313</c:v>
                </c:pt>
                <c:pt idx="308">
                  <c:v>385.71725771740762</c:v>
                </c:pt>
                <c:pt idx="309">
                  <c:v>387.60780245051029</c:v>
                </c:pt>
                <c:pt idx="310">
                  <c:v>389.49704343111966</c:v>
                </c:pt>
                <c:pt idx="311">
                  <c:v>391.38498615355854</c:v>
                </c:pt>
                <c:pt idx="312">
                  <c:v>393.27163259639588</c:v>
                </c:pt>
                <c:pt idx="313">
                  <c:v>395.15698123304543</c:v>
                </c:pt>
                <c:pt idx="314">
                  <c:v>397.04102707002102</c:v>
                </c:pt>
                <c:pt idx="315">
                  <c:v>398.92376171187158</c:v>
                </c:pt>
                <c:pt idx="316">
                  <c:v>400.80517345080727</c:v>
                </c:pt>
                <c:pt idx="317">
                  <c:v>402.68524737818944</c:v>
                </c:pt>
                <c:pt idx="318">
                  <c:v>404.56396551444982</c:v>
                </c:pt>
                <c:pt idx="319">
                  <c:v>406.4413069536559</c:v>
                </c:pt>
                <c:pt idx="320">
                  <c:v>408.31724801884326</c:v>
                </c:pt>
                <c:pt idx="321">
                  <c:v>410.19176242436373</c:v>
                </c:pt>
                <c:pt idx="322">
                  <c:v>412.06482144179716</c:v>
                </c:pt>
                <c:pt idx="323">
                  <c:v>413.93639406639312</c:v>
                </c:pt>
                <c:pt idx="324">
                  <c:v>415.80644718149108</c:v>
                </c:pt>
                <c:pt idx="325">
                  <c:v>417.67494571886766</c:v>
                </c:pt>
                <c:pt idx="326">
                  <c:v>419.54185281344098</c:v>
                </c:pt>
                <c:pt idx="327">
                  <c:v>421.40712995120253</c:v>
                </c:pt>
                <c:pt idx="328">
                  <c:v>423.27073710962986</c:v>
                </c:pt>
                <c:pt idx="329">
                  <c:v>425.13263289015447</c:v>
                </c:pt>
                <c:pt idx="330">
                  <c:v>426.99277464251873</c:v>
                </c:pt>
                <c:pt idx="331">
                  <c:v>428.85111858105813</c:v>
                </c:pt>
                <c:pt idx="332">
                  <c:v>430.70761989309597</c:v>
                </c:pt>
                <c:pt idx="333">
                  <c:v>432.56223283974657</c:v>
                </c:pt>
                <c:pt idx="334">
                  <c:v>434.41491084949564</c:v>
                </c:pt>
                <c:pt idx="335">
                  <c:v>436.26560660497211</c:v>
                </c:pt>
                <c:pt idx="336">
                  <c:v>438.11427212334792</c:v>
                </c:pt>
                <c:pt idx="337">
                  <c:v>439.96085883080963</c:v>
                </c:pt>
                <c:pt idx="338">
                  <c:v>441.80531763153954</c:v>
                </c:pt>
                <c:pt idx="339">
                  <c:v>443.64759897163037</c:v>
                </c:pt>
                <c:pt idx="340">
                  <c:v>445.48765289833807</c:v>
                </c:pt>
                <c:pt idx="341">
                  <c:v>447.32542911505374</c:v>
                </c:pt>
                <c:pt idx="342">
                  <c:v>449.16087703235092</c:v>
                </c:pt>
                <c:pt idx="343">
                  <c:v>450.99394581543851</c:v>
                </c:pt>
                <c:pt idx="344">
                  <c:v>452.82458442832393</c:v>
                </c:pt>
                <c:pt idx="345">
                  <c:v>454.65274167496676</c:v>
                </c:pt>
                <c:pt idx="346">
                  <c:v>456.47836623767819</c:v>
                </c:pt>
                <c:pt idx="347">
                  <c:v>458.30140671300046</c:v>
                </c:pt>
                <c:pt idx="348">
                  <c:v>460.12181164527857</c:v>
                </c:pt>
                <c:pt idx="349">
                  <c:v>461.93952955811784</c:v>
                </c:pt>
                <c:pt idx="350">
                  <c:v>463.7545089839025</c:v>
                </c:pt>
                <c:pt idx="351">
                  <c:v>465.56669849153479</c:v>
                </c:pt>
                <c:pt idx="352">
                  <c:v>467.37604671253854</c:v>
                </c:pt>
                <c:pt idx="353">
                  <c:v>469.18250236565785</c:v>
                </c:pt>
                <c:pt idx="354">
                  <c:v>470.9860142800697</c:v>
                </c:pt>
                <c:pt idx="355">
                  <c:v>472.78653141731684</c:v>
                </c:pt>
                <c:pt idx="356">
                  <c:v>474.58400289205917</c:v>
                </c:pt>
                <c:pt idx="357">
                  <c:v>476.37837799173087</c:v>
                </c:pt>
                <c:pt idx="358">
                  <c:v>478.16960619518312</c:v>
                </c:pt>
                <c:pt idx="359">
                  <c:v>479.95763719038536</c:v>
                </c:pt>
                <c:pt idx="360">
                  <c:v>481.74242089124994</c:v>
                </c:pt>
                <c:pt idx="361">
                  <c:v>483.52390745364079</c:v>
                </c:pt>
                <c:pt idx="362">
                  <c:v>485.30204729061927</c:v>
                </c:pt>
                <c:pt idx="363">
                  <c:v>487.0767910869771</c:v>
                </c:pt>
                <c:pt idx="364">
                  <c:v>488.8480898131013</c:v>
                </c:pt>
                <c:pt idx="365">
                  <c:v>490.61589473821147</c:v>
                </c:pt>
                <c:pt idx="366">
                  <c:v>492.38015744300725</c:v>
                </c:pt>
                <c:pt idx="367">
                  <c:v>494.14082983175928</c:v>
                </c:pt>
                <c:pt idx="368">
                  <c:v>495.89786414387527</c:v>
                </c:pt>
                <c:pt idx="369">
                  <c:v>497.65121296496915</c:v>
                </c:pt>
                <c:pt idx="370">
                  <c:v>499.40082923745967</c:v>
                </c:pt>
                <c:pt idx="371">
                  <c:v>501.14666627072148</c:v>
                </c:pt>
                <c:pt idx="372">
                  <c:v>502.88867775081138</c:v>
                </c:pt>
                <c:pt idx="373">
                  <c:v>504.6268177497891</c:v>
                </c:pt>
                <c:pt idx="374">
                  <c:v>506.36104073465117</c:v>
                </c:pt>
                <c:pt idx="375">
                  <c:v>508.0913015758951</c:v>
                </c:pt>
                <c:pt idx="376">
                  <c:v>509.8175555557288</c:v>
                </c:pt>
                <c:pt idx="377">
                  <c:v>511.53975837594044</c:v>
                </c:pt>
                <c:pt idx="378">
                  <c:v>513.25786616544121</c:v>
                </c:pt>
                <c:pt idx="379">
                  <c:v>514.97183548749388</c:v>
                </c:pt>
                <c:pt idx="380">
                  <c:v>516.68162334663828</c:v>
                </c:pt>
                <c:pt idx="381">
                  <c:v>518.38718719532415</c:v>
                </c:pt>
                <c:pt idx="382">
                  <c:v>520.0884849402612</c:v>
                </c:pt>
                <c:pt idx="383">
                  <c:v>521.7854749484959</c:v>
                </c:pt>
                <c:pt idx="384">
                  <c:v>523.47811605322272</c:v>
                </c:pt>
                <c:pt idx="385">
                  <c:v>525.16636755933837</c:v>
                </c:pt>
                <c:pt idx="386">
                  <c:v>526.85018924874623</c:v>
                </c:pt>
                <c:pt idx="387">
                  <c:v>528.52954138541782</c:v>
                </c:pt>
                <c:pt idx="388">
                  <c:v>530.20438472021806</c:v>
                </c:pt>
                <c:pt idx="389">
                  <c:v>531.87468049550012</c:v>
                </c:pt>
                <c:pt idx="390">
                  <c:v>533.54039044947604</c:v>
                </c:pt>
                <c:pt idx="391">
                  <c:v>535.20147682036782</c:v>
                </c:pt>
                <c:pt idx="392">
                  <c:v>536.85790235034528</c:v>
                </c:pt>
                <c:pt idx="393">
                  <c:v>538.50963028925435</c:v>
                </c:pt>
                <c:pt idx="394">
                  <c:v>540.15662439814105</c:v>
                </c:pt>
                <c:pt idx="395">
                  <c:v>541.79884895257567</c:v>
                </c:pt>
                <c:pt idx="396">
                  <c:v>543.43626874578081</c:v>
                </c:pt>
                <c:pt idx="397">
                  <c:v>545.06884909156804</c:v>
                </c:pt>
                <c:pt idx="398">
                  <c:v>546.69655582708617</c:v>
                </c:pt>
                <c:pt idx="399">
                  <c:v>548.31935531538534</c:v>
                </c:pt>
                <c:pt idx="400">
                  <c:v>549.93721444780044</c:v>
                </c:pt>
                <c:pt idx="401">
                  <c:v>551.55010064615749</c:v>
                </c:pt>
                <c:pt idx="402">
                  <c:v>553.15798186480515</c:v>
                </c:pt>
                <c:pt idx="403">
                  <c:v>554.76082659247618</c:v>
                </c:pt>
                <c:pt idx="404">
                  <c:v>556.35860385398087</c:v>
                </c:pt>
                <c:pt idx="405">
                  <c:v>557.95128321173547</c:v>
                </c:pt>
                <c:pt idx="406">
                  <c:v>559.5388347671294</c:v>
                </c:pt>
                <c:pt idx="407">
                  <c:v>561.12122916173257</c:v>
                </c:pt>
                <c:pt idx="408">
                  <c:v>562.69843757834724</c:v>
                </c:pt>
                <c:pt idx="409">
                  <c:v>564.27043174190612</c:v>
                </c:pt>
                <c:pt idx="410">
                  <c:v>565.83718392021979</c:v>
                </c:pt>
                <c:pt idx="411">
                  <c:v>567.39866692457565</c:v>
                </c:pt>
                <c:pt idx="412">
                  <c:v>568.95485411019126</c:v>
                </c:pt>
                <c:pt idx="413">
                  <c:v>570.50571937652512</c:v>
                </c:pt>
                <c:pt idx="414">
                  <c:v>572.05123716744595</c:v>
                </c:pt>
                <c:pt idx="415">
                  <c:v>573.59138247126464</c:v>
                </c:pt>
                <c:pt idx="416">
                  <c:v>575.12613082062978</c:v>
                </c:pt>
                <c:pt idx="417">
                  <c:v>576.65545829229063</c:v>
                </c:pt>
                <c:pt idx="418">
                  <c:v>578.17934150672818</c:v>
                </c:pt>
                <c:pt idx="419">
                  <c:v>579.69775762765858</c:v>
                </c:pt>
                <c:pt idx="420">
                  <c:v>581.21068436140956</c:v>
                </c:pt>
                <c:pt idx="421">
                  <c:v>582.71809995617309</c:v>
                </c:pt>
                <c:pt idx="422">
                  <c:v>584.21998320113653</c:v>
                </c:pt>
                <c:pt idx="423">
                  <c:v>585.71631342549426</c:v>
                </c:pt>
                <c:pt idx="424">
                  <c:v>587.20707049734187</c:v>
                </c:pt>
                <c:pt idx="425">
                  <c:v>588.69223482245604</c:v>
                </c:pt>
                <c:pt idx="426">
                  <c:v>590.17178734296112</c:v>
                </c:pt>
                <c:pt idx="427">
                  <c:v>591.64570953588566</c:v>
                </c:pt>
                <c:pt idx="428">
                  <c:v>593.11398341161021</c:v>
                </c:pt>
                <c:pt idx="429">
                  <c:v>594.57659151220969</c:v>
                </c:pt>
                <c:pt idx="430">
                  <c:v>596.03351690969134</c:v>
                </c:pt>
                <c:pt idx="431">
                  <c:v>597.48474320413129</c:v>
                </c:pt>
                <c:pt idx="432">
                  <c:v>598.93025452171116</c:v>
                </c:pt>
                <c:pt idx="433">
                  <c:v>600.37003551265786</c:v>
                </c:pt>
                <c:pt idx="434">
                  <c:v>601.80407134908751</c:v>
                </c:pt>
                <c:pt idx="435">
                  <c:v>603.2323477227568</c:v>
                </c:pt>
                <c:pt idx="436">
                  <c:v>604.65485084272268</c:v>
                </c:pt>
                <c:pt idx="437">
                  <c:v>606.07156743291387</c:v>
                </c:pt>
                <c:pt idx="438">
                  <c:v>607.48248472961518</c:v>
                </c:pt>
                <c:pt idx="439">
                  <c:v>608.8875904788672</c:v>
                </c:pt>
                <c:pt idx="440">
                  <c:v>610.28687293378346</c:v>
                </c:pt>
                <c:pt idx="441">
                  <c:v>611.68032085178686</c:v>
                </c:pt>
                <c:pt idx="442">
                  <c:v>613.06792349176806</c:v>
                </c:pt>
                <c:pt idx="443">
                  <c:v>614.44967061116699</c:v>
                </c:pt>
                <c:pt idx="444">
                  <c:v>615.82555246298034</c:v>
                </c:pt>
                <c:pt idx="445">
                  <c:v>617.19555979269637</c:v>
                </c:pt>
                <c:pt idx="446">
                  <c:v>618.55968383515983</c:v>
                </c:pt>
                <c:pt idx="447">
                  <c:v>619.91791631136846</c:v>
                </c:pt>
                <c:pt idx="448">
                  <c:v>621.27024942520268</c:v>
                </c:pt>
                <c:pt idx="449">
                  <c:v>622.61667586009196</c:v>
                </c:pt>
                <c:pt idx="450">
                  <c:v>623.95718877561774</c:v>
                </c:pt>
                <c:pt idx="451">
                  <c:v>625.29178180405688</c:v>
                </c:pt>
                <c:pt idx="452">
                  <c:v>626.62044904686604</c:v>
                </c:pt>
                <c:pt idx="453">
                  <c:v>627.94318507111007</c:v>
                </c:pt>
                <c:pt idx="454">
                  <c:v>629.25998490583515</c:v>
                </c:pt>
                <c:pt idx="455">
                  <c:v>630.57084403839019</c:v>
                </c:pt>
                <c:pt idx="456">
                  <c:v>631.87575841069633</c:v>
                </c:pt>
                <c:pt idx="457">
                  <c:v>633.1747244154684</c:v>
                </c:pt>
                <c:pt idx="458">
                  <c:v>634.46773889238898</c:v>
                </c:pt>
                <c:pt idx="459">
                  <c:v>635.75479912423714</c:v>
                </c:pt>
                <c:pt idx="460">
                  <c:v>637.03590283297365</c:v>
                </c:pt>
                <c:pt idx="461">
                  <c:v>638.31104817578534</c:v>
                </c:pt>
                <c:pt idx="462">
                  <c:v>639.5802337410887</c:v>
                </c:pt>
                <c:pt idx="463">
                  <c:v>640.843458544496</c:v>
                </c:pt>
                <c:pt idx="464">
                  <c:v>642.10072202474498</c:v>
                </c:pt>
                <c:pt idx="465">
                  <c:v>643.35202403959397</c:v>
                </c:pt>
                <c:pt idx="466">
                  <c:v>644.59736486168424</c:v>
                </c:pt>
                <c:pt idx="467">
                  <c:v>645.83674517437112</c:v>
                </c:pt>
                <c:pt idx="468">
                  <c:v>647.07016606752597</c:v>
                </c:pt>
                <c:pt idx="469">
                  <c:v>648.2976290333097</c:v>
                </c:pt>
                <c:pt idx="470">
                  <c:v>649.51913596192082</c:v>
                </c:pt>
                <c:pt idx="471">
                  <c:v>650.73468913731847</c:v>
                </c:pt>
                <c:pt idx="472">
                  <c:v>651.94429123292275</c:v>
                </c:pt>
                <c:pt idx="473">
                  <c:v>653.14794530729375</c:v>
                </c:pt>
                <c:pt idx="474">
                  <c:v>654.34565479979017</c:v>
                </c:pt>
                <c:pt idx="475">
                  <c:v>655.53742352621055</c:v>
                </c:pt>
                <c:pt idx="476">
                  <c:v>656.72325567441703</c:v>
                </c:pt>
                <c:pt idx="477">
                  <c:v>657.90315579994399</c:v>
                </c:pt>
                <c:pt idx="478">
                  <c:v>659.07712882159308</c:v>
                </c:pt>
                <c:pt idx="479">
                  <c:v>660.24518001701563</c:v>
                </c:pt>
                <c:pt idx="480">
                  <c:v>661.40731501828407</c:v>
                </c:pt>
                <c:pt idx="481">
                  <c:v>662.56353980745428</c:v>
                </c:pt>
                <c:pt idx="482">
                  <c:v>663.71386071211896</c:v>
                </c:pt>
                <c:pt idx="483">
                  <c:v>664.85828440095486</c:v>
                </c:pt>
                <c:pt idx="484">
                  <c:v>665.99681787926431</c:v>
                </c:pt>
                <c:pt idx="485">
                  <c:v>667.12946848451247</c:v>
                </c:pt>
                <c:pt idx="486">
                  <c:v>668.25624388186156</c:v>
                </c:pt>
                <c:pt idx="487">
                  <c:v>669.3771520597038</c:v>
                </c:pt>
                <c:pt idx="488">
                  <c:v>670.49220132519406</c:v>
                </c:pt>
                <c:pt idx="489">
                  <c:v>671.60140029978243</c:v>
                </c:pt>
                <c:pt idx="490">
                  <c:v>672.70475791475008</c:v>
                </c:pt>
                <c:pt idx="491">
                  <c:v>673.80228340674716</c:v>
                </c:pt>
                <c:pt idx="492">
                  <c:v>674.89398631333574</c:v>
                </c:pt>
                <c:pt idx="493">
                  <c:v>675.97987646853801</c:v>
                </c:pt>
                <c:pt idx="494">
                  <c:v>677.05996399839069</c:v>
                </c:pt>
                <c:pt idx="495">
                  <c:v>678.13425931650761</c:v>
                </c:pt>
                <c:pt idx="496">
                  <c:v>679.20277311965049</c:v>
                </c:pt>
                <c:pt idx="497">
                  <c:v>680.26551638330989</c:v>
                </c:pt>
                <c:pt idx="498">
                  <c:v>681.32250035729624</c:v>
                </c:pt>
                <c:pt idx="499">
                  <c:v>682.37373656134298</c:v>
                </c:pt>
                <c:pt idx="500">
                  <c:v>683.41923678072249</c:v>
                </c:pt>
                <c:pt idx="501">
                  <c:v>684.45901306187488</c:v>
                </c:pt>
                <c:pt idx="502">
                  <c:v>685.49307770805217</c:v>
                </c:pt>
                <c:pt idx="503">
                  <c:v>686.52144327497706</c:v>
                </c:pt>
                <c:pt idx="504">
                  <c:v>687.54412256651858</c:v>
                </c:pt>
                <c:pt idx="505">
                  <c:v>688.56112863038425</c:v>
                </c:pt>
                <c:pt idx="506">
                  <c:v>689.57247475383031</c:v>
                </c:pt>
                <c:pt idx="507">
                  <c:v>690.57817445939122</c:v>
                </c:pt>
                <c:pt idx="508">
                  <c:v>691.57824150062766</c:v>
                </c:pt>
                <c:pt idx="509">
                  <c:v>692.57268985789551</c:v>
                </c:pt>
                <c:pt idx="510">
                  <c:v>693.56153373413531</c:v>
                </c:pt>
                <c:pt idx="511">
                  <c:v>694.54478755068385</c:v>
                </c:pt>
                <c:pt idx="512">
                  <c:v>695.52246594310759</c:v>
                </c:pt>
                <c:pt idx="513">
                  <c:v>696.49458375705967</c:v>
                </c:pt>
                <c:pt idx="514">
                  <c:v>697.46115604416025</c:v>
                </c:pt>
                <c:pt idx="515">
                  <c:v>698.4221980579008</c:v>
                </c:pt>
                <c:pt idx="516">
                  <c:v>699.37772524957415</c:v>
                </c:pt>
                <c:pt idx="517">
                  <c:v>700.32775326422927</c:v>
                </c:pt>
                <c:pt idx="518">
                  <c:v>701.27229793665254</c:v>
                </c:pt>
                <c:pt idx="519">
                  <c:v>702.21137528737529</c:v>
                </c:pt>
                <c:pt idx="520">
                  <c:v>703.14500151870845</c:v>
                </c:pt>
                <c:pt idx="521">
                  <c:v>704.07319301080531</c:v>
                </c:pt>
                <c:pt idx="522">
                  <c:v>704.99596631775148</c:v>
                </c:pt>
                <c:pt idx="523">
                  <c:v>705.91333816368456</c:v>
                </c:pt>
                <c:pt idx="524">
                  <c:v>706.82532543894138</c:v>
                </c:pt>
                <c:pt idx="525">
                  <c:v>707.73194519623621</c:v>
                </c:pt>
                <c:pt idx="526">
                  <c:v>708.63321464686749</c:v>
                </c:pt>
                <c:pt idx="527">
                  <c:v>709.52915115695555</c:v>
                </c:pt>
                <c:pt idx="528">
                  <c:v>710.41977224371067</c:v>
                </c:pt>
                <c:pt idx="529">
                  <c:v>711.30509557173207</c:v>
                </c:pt>
                <c:pt idx="530">
                  <c:v>712.18513894933824</c:v>
                </c:pt>
                <c:pt idx="531">
                  <c:v>712.18513894933824</c:v>
                </c:pt>
                <c:pt idx="532">
                  <c:v>712.18513894933824</c:v>
                </c:pt>
                <c:pt idx="533">
                  <c:v>712.18513894933824</c:v>
                </c:pt>
                <c:pt idx="534">
                  <c:v>712.18513894933824</c:v>
                </c:pt>
                <c:pt idx="535">
                  <c:v>712.18513894933824</c:v>
                </c:pt>
                <c:pt idx="536">
                  <c:v>712.18513894933824</c:v>
                </c:pt>
                <c:pt idx="537">
                  <c:v>712.18513894933824</c:v>
                </c:pt>
                <c:pt idx="538">
                  <c:v>712.18513894933824</c:v>
                </c:pt>
                <c:pt idx="539">
                  <c:v>712.18513894933824</c:v>
                </c:pt>
                <c:pt idx="540">
                  <c:v>712.18513894933824</c:v>
                </c:pt>
                <c:pt idx="541">
                  <c:v>712.18513894933824</c:v>
                </c:pt>
                <c:pt idx="542">
                  <c:v>712.18513894933824</c:v>
                </c:pt>
                <c:pt idx="543">
                  <c:v>712.18513894933824</c:v>
                </c:pt>
                <c:pt idx="544">
                  <c:v>712.18513894933824</c:v>
                </c:pt>
                <c:pt idx="545">
                  <c:v>712.18513894933824</c:v>
                </c:pt>
                <c:pt idx="546">
                  <c:v>712.18513894933824</c:v>
                </c:pt>
                <c:pt idx="547">
                  <c:v>712.18513894933824</c:v>
                </c:pt>
                <c:pt idx="548">
                  <c:v>712.18513894933824</c:v>
                </c:pt>
                <c:pt idx="549">
                  <c:v>712.18513894933824</c:v>
                </c:pt>
                <c:pt idx="550">
                  <c:v>712.18513894933824</c:v>
                </c:pt>
                <c:pt idx="551">
                  <c:v>712.18513894933824</c:v>
                </c:pt>
                <c:pt idx="552">
                  <c:v>712.18513894933824</c:v>
                </c:pt>
                <c:pt idx="553">
                  <c:v>712.18513894933824</c:v>
                </c:pt>
                <c:pt idx="554">
                  <c:v>712.18513894933824</c:v>
                </c:pt>
                <c:pt idx="555">
                  <c:v>712.18513894933824</c:v>
                </c:pt>
                <c:pt idx="556">
                  <c:v>712.18513894933824</c:v>
                </c:pt>
                <c:pt idx="557">
                  <c:v>712.18513894933824</c:v>
                </c:pt>
                <c:pt idx="558">
                  <c:v>712.18513894933824</c:v>
                </c:pt>
                <c:pt idx="559">
                  <c:v>712.18513894933824</c:v>
                </c:pt>
                <c:pt idx="560">
                  <c:v>712.18513894933824</c:v>
                </c:pt>
                <c:pt idx="561">
                  <c:v>712.18513894933824</c:v>
                </c:pt>
                <c:pt idx="562">
                  <c:v>712.18513894933824</c:v>
                </c:pt>
                <c:pt idx="563">
                  <c:v>712.18513894933824</c:v>
                </c:pt>
                <c:pt idx="564">
                  <c:v>712.18513894933824</c:v>
                </c:pt>
                <c:pt idx="565">
                  <c:v>712.18513894933824</c:v>
                </c:pt>
                <c:pt idx="566">
                  <c:v>712.18513894933824</c:v>
                </c:pt>
                <c:pt idx="567">
                  <c:v>712.18513894933824</c:v>
                </c:pt>
                <c:pt idx="568">
                  <c:v>712.18513894933824</c:v>
                </c:pt>
                <c:pt idx="569">
                  <c:v>712.18513894933824</c:v>
                </c:pt>
                <c:pt idx="570">
                  <c:v>712.18513894933824</c:v>
                </c:pt>
                <c:pt idx="571">
                  <c:v>712.18513894933824</c:v>
                </c:pt>
                <c:pt idx="572">
                  <c:v>712.18513894933824</c:v>
                </c:pt>
                <c:pt idx="573">
                  <c:v>712.18513894933824</c:v>
                </c:pt>
                <c:pt idx="574">
                  <c:v>712.18513894933824</c:v>
                </c:pt>
                <c:pt idx="575">
                  <c:v>712.18513894933824</c:v>
                </c:pt>
                <c:pt idx="576">
                  <c:v>712.18513894933824</c:v>
                </c:pt>
                <c:pt idx="577">
                  <c:v>712.18513894933824</c:v>
                </c:pt>
                <c:pt idx="578">
                  <c:v>712.18513894933824</c:v>
                </c:pt>
                <c:pt idx="579">
                  <c:v>712.18513894933824</c:v>
                </c:pt>
                <c:pt idx="580">
                  <c:v>712.18513894933824</c:v>
                </c:pt>
                <c:pt idx="581">
                  <c:v>712.18513894933824</c:v>
                </c:pt>
                <c:pt idx="582">
                  <c:v>712.18513894933824</c:v>
                </c:pt>
                <c:pt idx="583">
                  <c:v>712.18513894933824</c:v>
                </c:pt>
                <c:pt idx="584">
                  <c:v>712.18513894933824</c:v>
                </c:pt>
                <c:pt idx="585">
                  <c:v>712.18513894933824</c:v>
                </c:pt>
                <c:pt idx="586">
                  <c:v>712.18513894933824</c:v>
                </c:pt>
                <c:pt idx="587">
                  <c:v>712.18513894933824</c:v>
                </c:pt>
                <c:pt idx="588">
                  <c:v>712.18513894933824</c:v>
                </c:pt>
                <c:pt idx="589">
                  <c:v>712.18513894933824</c:v>
                </c:pt>
                <c:pt idx="590">
                  <c:v>712.18513894933824</c:v>
                </c:pt>
                <c:pt idx="591">
                  <c:v>712.18513894933824</c:v>
                </c:pt>
                <c:pt idx="592">
                  <c:v>712.18513894933824</c:v>
                </c:pt>
                <c:pt idx="593">
                  <c:v>712.18513894933824</c:v>
                </c:pt>
                <c:pt idx="594">
                  <c:v>712.18513894933824</c:v>
                </c:pt>
                <c:pt idx="595">
                  <c:v>712.18513894933824</c:v>
                </c:pt>
                <c:pt idx="596">
                  <c:v>712.18513894933824</c:v>
                </c:pt>
                <c:pt idx="597">
                  <c:v>712.18513894933824</c:v>
                </c:pt>
                <c:pt idx="598">
                  <c:v>712.18513894933824</c:v>
                </c:pt>
                <c:pt idx="599">
                  <c:v>712.18513894933824</c:v>
                </c:pt>
                <c:pt idx="600">
                  <c:v>712.18513894933824</c:v>
                </c:pt>
                <c:pt idx="601">
                  <c:v>712.18513894933824</c:v>
                </c:pt>
                <c:pt idx="602">
                  <c:v>712.18513894933824</c:v>
                </c:pt>
                <c:pt idx="603">
                  <c:v>712.18513894933824</c:v>
                </c:pt>
                <c:pt idx="604">
                  <c:v>712.18513894933824</c:v>
                </c:pt>
                <c:pt idx="605">
                  <c:v>712.18513894933824</c:v>
                </c:pt>
                <c:pt idx="606">
                  <c:v>712.18513894933824</c:v>
                </c:pt>
                <c:pt idx="607">
                  <c:v>712.18513894933824</c:v>
                </c:pt>
                <c:pt idx="608">
                  <c:v>712.18513894933824</c:v>
                </c:pt>
                <c:pt idx="609">
                  <c:v>712.18513894933824</c:v>
                </c:pt>
                <c:pt idx="610">
                  <c:v>712.18513894933824</c:v>
                </c:pt>
                <c:pt idx="611">
                  <c:v>712.18513894933824</c:v>
                </c:pt>
                <c:pt idx="612">
                  <c:v>712.18513894933824</c:v>
                </c:pt>
                <c:pt idx="613">
                  <c:v>712.18513894933824</c:v>
                </c:pt>
                <c:pt idx="614">
                  <c:v>712.18513894933824</c:v>
                </c:pt>
                <c:pt idx="615">
                  <c:v>712.18513894933824</c:v>
                </c:pt>
                <c:pt idx="616">
                  <c:v>712.18513894933824</c:v>
                </c:pt>
                <c:pt idx="617">
                  <c:v>712.18513894933824</c:v>
                </c:pt>
                <c:pt idx="618">
                  <c:v>712.18513894933824</c:v>
                </c:pt>
                <c:pt idx="619">
                  <c:v>712.18513894933824</c:v>
                </c:pt>
                <c:pt idx="620">
                  <c:v>712.18513894933824</c:v>
                </c:pt>
                <c:pt idx="621">
                  <c:v>712.18513894933824</c:v>
                </c:pt>
                <c:pt idx="622">
                  <c:v>712.18513894933824</c:v>
                </c:pt>
                <c:pt idx="623">
                  <c:v>712.18513894933824</c:v>
                </c:pt>
                <c:pt idx="624">
                  <c:v>712.18513894933824</c:v>
                </c:pt>
                <c:pt idx="625">
                  <c:v>712.18513894933824</c:v>
                </c:pt>
                <c:pt idx="626">
                  <c:v>712.18513894933824</c:v>
                </c:pt>
                <c:pt idx="627">
                  <c:v>712.18513894933824</c:v>
                </c:pt>
                <c:pt idx="628">
                  <c:v>712.18513894933824</c:v>
                </c:pt>
                <c:pt idx="629">
                  <c:v>712.18513894933824</c:v>
                </c:pt>
                <c:pt idx="630">
                  <c:v>712.18513894933824</c:v>
                </c:pt>
                <c:pt idx="631">
                  <c:v>712.18513894933824</c:v>
                </c:pt>
                <c:pt idx="632">
                  <c:v>712.18513894933824</c:v>
                </c:pt>
                <c:pt idx="633">
                  <c:v>712.18513894933824</c:v>
                </c:pt>
                <c:pt idx="634">
                  <c:v>712.18513894933824</c:v>
                </c:pt>
                <c:pt idx="635">
                  <c:v>712.18513894933824</c:v>
                </c:pt>
                <c:pt idx="636">
                  <c:v>712.18513894933824</c:v>
                </c:pt>
                <c:pt idx="637">
                  <c:v>712.18513894933824</c:v>
                </c:pt>
                <c:pt idx="638">
                  <c:v>712.18513894933824</c:v>
                </c:pt>
                <c:pt idx="639">
                  <c:v>712.18513894933824</c:v>
                </c:pt>
                <c:pt idx="640">
                  <c:v>712.18513894933824</c:v>
                </c:pt>
                <c:pt idx="641">
                  <c:v>712.18513894933824</c:v>
                </c:pt>
                <c:pt idx="642">
                  <c:v>712.18513894933824</c:v>
                </c:pt>
                <c:pt idx="643">
                  <c:v>712.18513894933824</c:v>
                </c:pt>
                <c:pt idx="644">
                  <c:v>712.18513894933824</c:v>
                </c:pt>
                <c:pt idx="645">
                  <c:v>712.18513894933824</c:v>
                </c:pt>
                <c:pt idx="646">
                  <c:v>712.18513894933824</c:v>
                </c:pt>
                <c:pt idx="647">
                  <c:v>712.18513894933824</c:v>
                </c:pt>
                <c:pt idx="648">
                  <c:v>712.18513894933824</c:v>
                </c:pt>
                <c:pt idx="649">
                  <c:v>712.18513894933824</c:v>
                </c:pt>
                <c:pt idx="650">
                  <c:v>712.18513894933824</c:v>
                </c:pt>
                <c:pt idx="651">
                  <c:v>712.18513894933824</c:v>
                </c:pt>
                <c:pt idx="652">
                  <c:v>712.18513894933824</c:v>
                </c:pt>
                <c:pt idx="653">
                  <c:v>712.18513894933824</c:v>
                </c:pt>
                <c:pt idx="654">
                  <c:v>712.18513894933824</c:v>
                </c:pt>
                <c:pt idx="655">
                  <c:v>712.18513894933824</c:v>
                </c:pt>
                <c:pt idx="656">
                  <c:v>712.18513894933824</c:v>
                </c:pt>
                <c:pt idx="657">
                  <c:v>712.18513894933824</c:v>
                </c:pt>
                <c:pt idx="658">
                  <c:v>712.18513894933824</c:v>
                </c:pt>
                <c:pt idx="659">
                  <c:v>712.18513894933824</c:v>
                </c:pt>
                <c:pt idx="660">
                  <c:v>712.18513894933824</c:v>
                </c:pt>
                <c:pt idx="661">
                  <c:v>712.18513894933824</c:v>
                </c:pt>
                <c:pt idx="662">
                  <c:v>712.18513894933824</c:v>
                </c:pt>
                <c:pt idx="663">
                  <c:v>712.18513894933824</c:v>
                </c:pt>
                <c:pt idx="664">
                  <c:v>712.18513894933824</c:v>
                </c:pt>
                <c:pt idx="665">
                  <c:v>712.18513894933824</c:v>
                </c:pt>
                <c:pt idx="666">
                  <c:v>712.18513894933824</c:v>
                </c:pt>
                <c:pt idx="667">
                  <c:v>712.18513894933824</c:v>
                </c:pt>
                <c:pt idx="668">
                  <c:v>712.18513894933824</c:v>
                </c:pt>
                <c:pt idx="669">
                  <c:v>712.18513894933824</c:v>
                </c:pt>
                <c:pt idx="670">
                  <c:v>712.18513894933824</c:v>
                </c:pt>
                <c:pt idx="671">
                  <c:v>712.18513894933824</c:v>
                </c:pt>
                <c:pt idx="672">
                  <c:v>712.18513894933824</c:v>
                </c:pt>
                <c:pt idx="673">
                  <c:v>712.18513894933824</c:v>
                </c:pt>
                <c:pt idx="674">
                  <c:v>712.18513894933824</c:v>
                </c:pt>
                <c:pt idx="675">
                  <c:v>712.18513894933824</c:v>
                </c:pt>
                <c:pt idx="676">
                  <c:v>712.18513894933824</c:v>
                </c:pt>
                <c:pt idx="677">
                  <c:v>712.18513894933824</c:v>
                </c:pt>
                <c:pt idx="678">
                  <c:v>712.18513894933824</c:v>
                </c:pt>
                <c:pt idx="679">
                  <c:v>712.18513894933824</c:v>
                </c:pt>
                <c:pt idx="680">
                  <c:v>712.18513894933824</c:v>
                </c:pt>
                <c:pt idx="681">
                  <c:v>712.18513894933824</c:v>
                </c:pt>
                <c:pt idx="682">
                  <c:v>712.18513894933824</c:v>
                </c:pt>
                <c:pt idx="683">
                  <c:v>712.18513894933824</c:v>
                </c:pt>
                <c:pt idx="684">
                  <c:v>712.18513894933824</c:v>
                </c:pt>
                <c:pt idx="685">
                  <c:v>712.18513894933824</c:v>
                </c:pt>
                <c:pt idx="686">
                  <c:v>712.18513894933824</c:v>
                </c:pt>
                <c:pt idx="687">
                  <c:v>712.18513894933824</c:v>
                </c:pt>
                <c:pt idx="688">
                  <c:v>712.18513894933824</c:v>
                </c:pt>
                <c:pt idx="689">
                  <c:v>712.18513894933824</c:v>
                </c:pt>
                <c:pt idx="690">
                  <c:v>712.18513894933824</c:v>
                </c:pt>
                <c:pt idx="691">
                  <c:v>712.18513894933824</c:v>
                </c:pt>
                <c:pt idx="692">
                  <c:v>712.18513894933824</c:v>
                </c:pt>
                <c:pt idx="693">
                  <c:v>712.18513894933824</c:v>
                </c:pt>
                <c:pt idx="694">
                  <c:v>712.18513894933824</c:v>
                </c:pt>
                <c:pt idx="695">
                  <c:v>712.18513894933824</c:v>
                </c:pt>
                <c:pt idx="696">
                  <c:v>712.18513894933824</c:v>
                </c:pt>
                <c:pt idx="697">
                  <c:v>712.18513894933824</c:v>
                </c:pt>
                <c:pt idx="698">
                  <c:v>712.18513894933824</c:v>
                </c:pt>
                <c:pt idx="699">
                  <c:v>712.18513894933824</c:v>
                </c:pt>
                <c:pt idx="700">
                  <c:v>712.18513894933824</c:v>
                </c:pt>
                <c:pt idx="701">
                  <c:v>712.18513894933824</c:v>
                </c:pt>
                <c:pt idx="702">
                  <c:v>712.18513894933824</c:v>
                </c:pt>
                <c:pt idx="703">
                  <c:v>712.18513894933824</c:v>
                </c:pt>
                <c:pt idx="704">
                  <c:v>712.18513894933824</c:v>
                </c:pt>
                <c:pt idx="705">
                  <c:v>712.18513894933824</c:v>
                </c:pt>
                <c:pt idx="706">
                  <c:v>712.18513894933824</c:v>
                </c:pt>
                <c:pt idx="707">
                  <c:v>712.18513894933824</c:v>
                </c:pt>
                <c:pt idx="708">
                  <c:v>712.18513894933824</c:v>
                </c:pt>
                <c:pt idx="709">
                  <c:v>712.18513894933824</c:v>
                </c:pt>
                <c:pt idx="710">
                  <c:v>712.18513894933824</c:v>
                </c:pt>
                <c:pt idx="711">
                  <c:v>712.18513894933824</c:v>
                </c:pt>
                <c:pt idx="712">
                  <c:v>712.18513894933824</c:v>
                </c:pt>
                <c:pt idx="713">
                  <c:v>712.18513894933824</c:v>
                </c:pt>
                <c:pt idx="714">
                  <c:v>712.18513894933824</c:v>
                </c:pt>
                <c:pt idx="715">
                  <c:v>712.18513894933824</c:v>
                </c:pt>
                <c:pt idx="716">
                  <c:v>712.18513894933824</c:v>
                </c:pt>
                <c:pt idx="717">
                  <c:v>712.18513894933824</c:v>
                </c:pt>
                <c:pt idx="718">
                  <c:v>712.18513894933824</c:v>
                </c:pt>
                <c:pt idx="719">
                  <c:v>712.18513894933824</c:v>
                </c:pt>
                <c:pt idx="720">
                  <c:v>712.18513894933824</c:v>
                </c:pt>
                <c:pt idx="721">
                  <c:v>712.18513894933824</c:v>
                </c:pt>
                <c:pt idx="722">
                  <c:v>712.18513894933824</c:v>
                </c:pt>
                <c:pt idx="723">
                  <c:v>712.18513894933824</c:v>
                </c:pt>
                <c:pt idx="724">
                  <c:v>712.18513894933824</c:v>
                </c:pt>
                <c:pt idx="725">
                  <c:v>712.18513894933824</c:v>
                </c:pt>
                <c:pt idx="726">
                  <c:v>712.18513894933824</c:v>
                </c:pt>
                <c:pt idx="727">
                  <c:v>712.18513894933824</c:v>
                </c:pt>
                <c:pt idx="728">
                  <c:v>712.18513894933824</c:v>
                </c:pt>
                <c:pt idx="729">
                  <c:v>712.18513894933824</c:v>
                </c:pt>
                <c:pt idx="730">
                  <c:v>712.18513894933824</c:v>
                </c:pt>
                <c:pt idx="731">
                  <c:v>712.18513894933824</c:v>
                </c:pt>
                <c:pt idx="732">
                  <c:v>712.18513894933824</c:v>
                </c:pt>
                <c:pt idx="733">
                  <c:v>712.18513894933824</c:v>
                </c:pt>
                <c:pt idx="734">
                  <c:v>712.18513894933824</c:v>
                </c:pt>
                <c:pt idx="735">
                  <c:v>712.18513894933824</c:v>
                </c:pt>
                <c:pt idx="736">
                  <c:v>712.18513894933824</c:v>
                </c:pt>
                <c:pt idx="737">
                  <c:v>712.18513894933824</c:v>
                </c:pt>
                <c:pt idx="738">
                  <c:v>712.18513894933824</c:v>
                </c:pt>
                <c:pt idx="739">
                  <c:v>712.18513894933824</c:v>
                </c:pt>
                <c:pt idx="740">
                  <c:v>712.18513894933824</c:v>
                </c:pt>
                <c:pt idx="741">
                  <c:v>712.18513894933824</c:v>
                </c:pt>
                <c:pt idx="742">
                  <c:v>712.18513894933824</c:v>
                </c:pt>
                <c:pt idx="743">
                  <c:v>712.18513894933824</c:v>
                </c:pt>
                <c:pt idx="744">
                  <c:v>712.18513894933824</c:v>
                </c:pt>
                <c:pt idx="745">
                  <c:v>712.18513894933824</c:v>
                </c:pt>
                <c:pt idx="746">
                  <c:v>712.18513894933824</c:v>
                </c:pt>
                <c:pt idx="747">
                  <c:v>712.18513894933824</c:v>
                </c:pt>
                <c:pt idx="748">
                  <c:v>712.18513894933824</c:v>
                </c:pt>
                <c:pt idx="749">
                  <c:v>712.18513894933824</c:v>
                </c:pt>
                <c:pt idx="750">
                  <c:v>712.18513894933824</c:v>
                </c:pt>
                <c:pt idx="751">
                  <c:v>712.18513894933824</c:v>
                </c:pt>
                <c:pt idx="752">
                  <c:v>712.18513894933824</c:v>
                </c:pt>
                <c:pt idx="753">
                  <c:v>712.18513894933824</c:v>
                </c:pt>
                <c:pt idx="754">
                  <c:v>712.18513894933824</c:v>
                </c:pt>
                <c:pt idx="755">
                  <c:v>712.18513894933824</c:v>
                </c:pt>
                <c:pt idx="756">
                  <c:v>712.18513894933824</c:v>
                </c:pt>
                <c:pt idx="757">
                  <c:v>712.18513894933824</c:v>
                </c:pt>
                <c:pt idx="758">
                  <c:v>712.18513894933824</c:v>
                </c:pt>
                <c:pt idx="759">
                  <c:v>712.18513894933824</c:v>
                </c:pt>
                <c:pt idx="760">
                  <c:v>712.18513894933824</c:v>
                </c:pt>
                <c:pt idx="761">
                  <c:v>712.18513894933824</c:v>
                </c:pt>
                <c:pt idx="762">
                  <c:v>712.18513894933824</c:v>
                </c:pt>
                <c:pt idx="763">
                  <c:v>712.18513894933824</c:v>
                </c:pt>
                <c:pt idx="764">
                  <c:v>712.18513894933824</c:v>
                </c:pt>
                <c:pt idx="765">
                  <c:v>712.18513894933824</c:v>
                </c:pt>
                <c:pt idx="766">
                  <c:v>712.18513894933824</c:v>
                </c:pt>
                <c:pt idx="767">
                  <c:v>712.18513894933824</c:v>
                </c:pt>
                <c:pt idx="768">
                  <c:v>712.18513894933824</c:v>
                </c:pt>
                <c:pt idx="769">
                  <c:v>712.18513894933824</c:v>
                </c:pt>
                <c:pt idx="770">
                  <c:v>712.18513894933824</c:v>
                </c:pt>
                <c:pt idx="771">
                  <c:v>712.18513894933824</c:v>
                </c:pt>
                <c:pt idx="772">
                  <c:v>712.18513894933824</c:v>
                </c:pt>
                <c:pt idx="773">
                  <c:v>712.18513894933824</c:v>
                </c:pt>
                <c:pt idx="774">
                  <c:v>712.18513894933824</c:v>
                </c:pt>
                <c:pt idx="775">
                  <c:v>712.18513894933824</c:v>
                </c:pt>
                <c:pt idx="776">
                  <c:v>712.18513894933824</c:v>
                </c:pt>
                <c:pt idx="777">
                  <c:v>712.18513894933824</c:v>
                </c:pt>
                <c:pt idx="778">
                  <c:v>712.18513894933824</c:v>
                </c:pt>
                <c:pt idx="779">
                  <c:v>712.18513894933824</c:v>
                </c:pt>
                <c:pt idx="780">
                  <c:v>712.18513894933824</c:v>
                </c:pt>
                <c:pt idx="781">
                  <c:v>712.18513894933824</c:v>
                </c:pt>
                <c:pt idx="782">
                  <c:v>712.18513894933824</c:v>
                </c:pt>
                <c:pt idx="783">
                  <c:v>712.18513894933824</c:v>
                </c:pt>
                <c:pt idx="784">
                  <c:v>712.18513894933824</c:v>
                </c:pt>
                <c:pt idx="785">
                  <c:v>712.18513894933824</c:v>
                </c:pt>
                <c:pt idx="786">
                  <c:v>712.18513894933824</c:v>
                </c:pt>
                <c:pt idx="787">
                  <c:v>712.18513894933824</c:v>
                </c:pt>
                <c:pt idx="788">
                  <c:v>712.18513894933824</c:v>
                </c:pt>
                <c:pt idx="789">
                  <c:v>712.18513894933824</c:v>
                </c:pt>
                <c:pt idx="790">
                  <c:v>712.18513894933824</c:v>
                </c:pt>
                <c:pt idx="791">
                  <c:v>712.18513894933824</c:v>
                </c:pt>
                <c:pt idx="792">
                  <c:v>712.18513894933824</c:v>
                </c:pt>
                <c:pt idx="793">
                  <c:v>712.18513894933824</c:v>
                </c:pt>
                <c:pt idx="794">
                  <c:v>712.18513894933824</c:v>
                </c:pt>
                <c:pt idx="795">
                  <c:v>712.18513894933824</c:v>
                </c:pt>
                <c:pt idx="796">
                  <c:v>712.18513894933824</c:v>
                </c:pt>
                <c:pt idx="797">
                  <c:v>712.18513894933824</c:v>
                </c:pt>
                <c:pt idx="798">
                  <c:v>712.18513894933824</c:v>
                </c:pt>
                <c:pt idx="799">
                  <c:v>712.18513894933824</c:v>
                </c:pt>
                <c:pt idx="800">
                  <c:v>712.18513894933824</c:v>
                </c:pt>
                <c:pt idx="801">
                  <c:v>712.18513894933824</c:v>
                </c:pt>
                <c:pt idx="802">
                  <c:v>712.18513894933824</c:v>
                </c:pt>
                <c:pt idx="803">
                  <c:v>712.18513894933824</c:v>
                </c:pt>
                <c:pt idx="804">
                  <c:v>712.18513894933824</c:v>
                </c:pt>
                <c:pt idx="805">
                  <c:v>712.18513894933824</c:v>
                </c:pt>
                <c:pt idx="806">
                  <c:v>712.18513894933824</c:v>
                </c:pt>
                <c:pt idx="807">
                  <c:v>712.18513894933824</c:v>
                </c:pt>
                <c:pt idx="808">
                  <c:v>712.18513894933824</c:v>
                </c:pt>
                <c:pt idx="809">
                  <c:v>712.18513894933824</c:v>
                </c:pt>
                <c:pt idx="810">
                  <c:v>712.18513894933824</c:v>
                </c:pt>
                <c:pt idx="811">
                  <c:v>712.18513894933824</c:v>
                </c:pt>
                <c:pt idx="812">
                  <c:v>712.18513894933824</c:v>
                </c:pt>
                <c:pt idx="813">
                  <c:v>712.18513894933824</c:v>
                </c:pt>
                <c:pt idx="814">
                  <c:v>712.18513894933824</c:v>
                </c:pt>
                <c:pt idx="815">
                  <c:v>712.18513894933824</c:v>
                </c:pt>
                <c:pt idx="816">
                  <c:v>712.18513894933824</c:v>
                </c:pt>
                <c:pt idx="817">
                  <c:v>712.18513894933824</c:v>
                </c:pt>
                <c:pt idx="818">
                  <c:v>712.18513894933824</c:v>
                </c:pt>
                <c:pt idx="819">
                  <c:v>712.18513894933824</c:v>
                </c:pt>
                <c:pt idx="820">
                  <c:v>712.18513894933824</c:v>
                </c:pt>
                <c:pt idx="821">
                  <c:v>712.18513894933824</c:v>
                </c:pt>
                <c:pt idx="822">
                  <c:v>712.18513894933824</c:v>
                </c:pt>
                <c:pt idx="823">
                  <c:v>712.18513894933824</c:v>
                </c:pt>
                <c:pt idx="824">
                  <c:v>712.18513894933824</c:v>
                </c:pt>
                <c:pt idx="825">
                  <c:v>712.18513894933824</c:v>
                </c:pt>
                <c:pt idx="826">
                  <c:v>712.18513894933824</c:v>
                </c:pt>
                <c:pt idx="827">
                  <c:v>712.18513894933824</c:v>
                </c:pt>
                <c:pt idx="828">
                  <c:v>712.18513894933824</c:v>
                </c:pt>
                <c:pt idx="829">
                  <c:v>712.18513894933824</c:v>
                </c:pt>
                <c:pt idx="830">
                  <c:v>712.18513894933824</c:v>
                </c:pt>
                <c:pt idx="831">
                  <c:v>712.18513894933824</c:v>
                </c:pt>
                <c:pt idx="832">
                  <c:v>712.18513894933824</c:v>
                </c:pt>
                <c:pt idx="833">
                  <c:v>712.18513894933824</c:v>
                </c:pt>
                <c:pt idx="834">
                  <c:v>712.18513894933824</c:v>
                </c:pt>
                <c:pt idx="835">
                  <c:v>712.18513894933824</c:v>
                </c:pt>
                <c:pt idx="836">
                  <c:v>712.18513894933824</c:v>
                </c:pt>
                <c:pt idx="837">
                  <c:v>712.18513894933824</c:v>
                </c:pt>
                <c:pt idx="838">
                  <c:v>712.18513894933824</c:v>
                </c:pt>
                <c:pt idx="839">
                  <c:v>712.18513894933824</c:v>
                </c:pt>
                <c:pt idx="840">
                  <c:v>712.18513894933824</c:v>
                </c:pt>
                <c:pt idx="841">
                  <c:v>712.18513894933824</c:v>
                </c:pt>
                <c:pt idx="842">
                  <c:v>712.18513894933824</c:v>
                </c:pt>
                <c:pt idx="843">
                  <c:v>712.18513894933824</c:v>
                </c:pt>
                <c:pt idx="844">
                  <c:v>712.18513894933824</c:v>
                </c:pt>
                <c:pt idx="845">
                  <c:v>712.18513894933824</c:v>
                </c:pt>
                <c:pt idx="846">
                  <c:v>712.18513894933824</c:v>
                </c:pt>
                <c:pt idx="847">
                  <c:v>712.18513894933824</c:v>
                </c:pt>
                <c:pt idx="848">
                  <c:v>712.18513894933824</c:v>
                </c:pt>
                <c:pt idx="849">
                  <c:v>712.18513894933824</c:v>
                </c:pt>
                <c:pt idx="850">
                  <c:v>712.18513894933824</c:v>
                </c:pt>
                <c:pt idx="851">
                  <c:v>712.18513894933824</c:v>
                </c:pt>
                <c:pt idx="852">
                  <c:v>712.18513894933824</c:v>
                </c:pt>
                <c:pt idx="853">
                  <c:v>712.18513894933824</c:v>
                </c:pt>
                <c:pt idx="854">
                  <c:v>712.18513894933824</c:v>
                </c:pt>
                <c:pt idx="855">
                  <c:v>712.18513894933824</c:v>
                </c:pt>
                <c:pt idx="856">
                  <c:v>712.18513894933824</c:v>
                </c:pt>
                <c:pt idx="857">
                  <c:v>712.18513894933824</c:v>
                </c:pt>
                <c:pt idx="858">
                  <c:v>712.18513894933824</c:v>
                </c:pt>
                <c:pt idx="859">
                  <c:v>712.18513894933824</c:v>
                </c:pt>
                <c:pt idx="860">
                  <c:v>712.18513894933824</c:v>
                </c:pt>
                <c:pt idx="861">
                  <c:v>712.18513894933824</c:v>
                </c:pt>
                <c:pt idx="862">
                  <c:v>712.18513894933824</c:v>
                </c:pt>
                <c:pt idx="863">
                  <c:v>712.18513894933824</c:v>
                </c:pt>
                <c:pt idx="864">
                  <c:v>712.18513894933824</c:v>
                </c:pt>
                <c:pt idx="865">
                  <c:v>712.18513894933824</c:v>
                </c:pt>
                <c:pt idx="866">
                  <c:v>712.18513894933824</c:v>
                </c:pt>
                <c:pt idx="867">
                  <c:v>712.18513894933824</c:v>
                </c:pt>
                <c:pt idx="868">
                  <c:v>712.18513894933824</c:v>
                </c:pt>
                <c:pt idx="869">
                  <c:v>712.18513894933824</c:v>
                </c:pt>
                <c:pt idx="870">
                  <c:v>712.18513894933824</c:v>
                </c:pt>
                <c:pt idx="871">
                  <c:v>712.18513894933824</c:v>
                </c:pt>
                <c:pt idx="872">
                  <c:v>712.18513894933824</c:v>
                </c:pt>
                <c:pt idx="873">
                  <c:v>712.18513894933824</c:v>
                </c:pt>
                <c:pt idx="874">
                  <c:v>712.18513894933824</c:v>
                </c:pt>
                <c:pt idx="875">
                  <c:v>712.18513894933824</c:v>
                </c:pt>
                <c:pt idx="876">
                  <c:v>712.18513894933824</c:v>
                </c:pt>
                <c:pt idx="877">
                  <c:v>712.18513894933824</c:v>
                </c:pt>
                <c:pt idx="878">
                  <c:v>712.18513894933824</c:v>
                </c:pt>
                <c:pt idx="879">
                  <c:v>712.18513894933824</c:v>
                </c:pt>
                <c:pt idx="880">
                  <c:v>712.18513894933824</c:v>
                </c:pt>
                <c:pt idx="881">
                  <c:v>712.18513894933824</c:v>
                </c:pt>
                <c:pt idx="882">
                  <c:v>712.18513894933824</c:v>
                </c:pt>
                <c:pt idx="883">
                  <c:v>712.18513894933824</c:v>
                </c:pt>
                <c:pt idx="884">
                  <c:v>712.18513894933824</c:v>
                </c:pt>
                <c:pt idx="885">
                  <c:v>712.18513894933824</c:v>
                </c:pt>
                <c:pt idx="886">
                  <c:v>712.18513894933824</c:v>
                </c:pt>
                <c:pt idx="887">
                  <c:v>712.18513894933824</c:v>
                </c:pt>
                <c:pt idx="888">
                  <c:v>712.18513894933824</c:v>
                </c:pt>
                <c:pt idx="889">
                  <c:v>712.18513894933824</c:v>
                </c:pt>
                <c:pt idx="890">
                  <c:v>712.18513894933824</c:v>
                </c:pt>
                <c:pt idx="891">
                  <c:v>712.18513894933824</c:v>
                </c:pt>
                <c:pt idx="892">
                  <c:v>712.18513894933824</c:v>
                </c:pt>
                <c:pt idx="893">
                  <c:v>712.18513894933824</c:v>
                </c:pt>
                <c:pt idx="894">
                  <c:v>712.18513894933824</c:v>
                </c:pt>
                <c:pt idx="895">
                  <c:v>712.18513894933824</c:v>
                </c:pt>
                <c:pt idx="896">
                  <c:v>712.18513894933824</c:v>
                </c:pt>
                <c:pt idx="897">
                  <c:v>712.18513894933824</c:v>
                </c:pt>
                <c:pt idx="898">
                  <c:v>712.18513894933824</c:v>
                </c:pt>
                <c:pt idx="899">
                  <c:v>712.18513894933824</c:v>
                </c:pt>
                <c:pt idx="900">
                  <c:v>712.18513894933824</c:v>
                </c:pt>
                <c:pt idx="901">
                  <c:v>712.18513894933824</c:v>
                </c:pt>
                <c:pt idx="902">
                  <c:v>712.18513894933824</c:v>
                </c:pt>
                <c:pt idx="903">
                  <c:v>712.18513894933824</c:v>
                </c:pt>
                <c:pt idx="904">
                  <c:v>712.18513894933824</c:v>
                </c:pt>
                <c:pt idx="905">
                  <c:v>712.18513894933824</c:v>
                </c:pt>
                <c:pt idx="906">
                  <c:v>712.18513894933824</c:v>
                </c:pt>
                <c:pt idx="907">
                  <c:v>712.18513894933824</c:v>
                </c:pt>
                <c:pt idx="908">
                  <c:v>712.18513894933824</c:v>
                </c:pt>
                <c:pt idx="909">
                  <c:v>712.18513894933824</c:v>
                </c:pt>
                <c:pt idx="910">
                  <c:v>712.18513894933824</c:v>
                </c:pt>
                <c:pt idx="911">
                  <c:v>712.18513894933824</c:v>
                </c:pt>
                <c:pt idx="912">
                  <c:v>712.18513894933824</c:v>
                </c:pt>
                <c:pt idx="913">
                  <c:v>712.18513894933824</c:v>
                </c:pt>
                <c:pt idx="914">
                  <c:v>712.18513894933824</c:v>
                </c:pt>
                <c:pt idx="915">
                  <c:v>712.18513894933824</c:v>
                </c:pt>
                <c:pt idx="916">
                  <c:v>712.18513894933824</c:v>
                </c:pt>
                <c:pt idx="917">
                  <c:v>712.18513894933824</c:v>
                </c:pt>
                <c:pt idx="918">
                  <c:v>712.18513894933824</c:v>
                </c:pt>
                <c:pt idx="919">
                  <c:v>712.18513894933824</c:v>
                </c:pt>
                <c:pt idx="920">
                  <c:v>712.18513894933824</c:v>
                </c:pt>
                <c:pt idx="921">
                  <c:v>712.18513894933824</c:v>
                </c:pt>
                <c:pt idx="922">
                  <c:v>712.18513894933824</c:v>
                </c:pt>
                <c:pt idx="923">
                  <c:v>712.18513894933824</c:v>
                </c:pt>
                <c:pt idx="924">
                  <c:v>712.18513894933824</c:v>
                </c:pt>
                <c:pt idx="925">
                  <c:v>712.18513894933824</c:v>
                </c:pt>
                <c:pt idx="926">
                  <c:v>712.18513894933824</c:v>
                </c:pt>
                <c:pt idx="927">
                  <c:v>712.18513894933824</c:v>
                </c:pt>
                <c:pt idx="928">
                  <c:v>712.18513894933824</c:v>
                </c:pt>
                <c:pt idx="929">
                  <c:v>712.18513894933824</c:v>
                </c:pt>
                <c:pt idx="930">
                  <c:v>712.18513894933824</c:v>
                </c:pt>
                <c:pt idx="931">
                  <c:v>712.18513894933824</c:v>
                </c:pt>
                <c:pt idx="932">
                  <c:v>712.18513894933824</c:v>
                </c:pt>
                <c:pt idx="933">
                  <c:v>712.18513894933824</c:v>
                </c:pt>
                <c:pt idx="934">
                  <c:v>712.18513894933824</c:v>
                </c:pt>
                <c:pt idx="935">
                  <c:v>712.18513894933824</c:v>
                </c:pt>
                <c:pt idx="936">
                  <c:v>712.18513894933824</c:v>
                </c:pt>
                <c:pt idx="937">
                  <c:v>712.18513894933824</c:v>
                </c:pt>
                <c:pt idx="938">
                  <c:v>712.18513894933824</c:v>
                </c:pt>
                <c:pt idx="939">
                  <c:v>712.18513894933824</c:v>
                </c:pt>
                <c:pt idx="940">
                  <c:v>712.18513894933824</c:v>
                </c:pt>
                <c:pt idx="941">
                  <c:v>712.18513894933824</c:v>
                </c:pt>
                <c:pt idx="942">
                  <c:v>712.18513894933824</c:v>
                </c:pt>
                <c:pt idx="943">
                  <c:v>712.18513894933824</c:v>
                </c:pt>
                <c:pt idx="944">
                  <c:v>712.18513894933824</c:v>
                </c:pt>
                <c:pt idx="945">
                  <c:v>712.18513894933824</c:v>
                </c:pt>
                <c:pt idx="946">
                  <c:v>712.18513894933824</c:v>
                </c:pt>
                <c:pt idx="947">
                  <c:v>712.18513894933824</c:v>
                </c:pt>
                <c:pt idx="948">
                  <c:v>712.18513894933824</c:v>
                </c:pt>
                <c:pt idx="949">
                  <c:v>712.18513894933824</c:v>
                </c:pt>
                <c:pt idx="950">
                  <c:v>712.18513894933824</c:v>
                </c:pt>
                <c:pt idx="951">
                  <c:v>712.18513894933824</c:v>
                </c:pt>
                <c:pt idx="952">
                  <c:v>712.18513894933824</c:v>
                </c:pt>
                <c:pt idx="953">
                  <c:v>712.18513894933824</c:v>
                </c:pt>
                <c:pt idx="954">
                  <c:v>712.18513894933824</c:v>
                </c:pt>
                <c:pt idx="955">
                  <c:v>712.18513894933824</c:v>
                </c:pt>
                <c:pt idx="956">
                  <c:v>712.18513894933824</c:v>
                </c:pt>
                <c:pt idx="957">
                  <c:v>712.18513894933824</c:v>
                </c:pt>
                <c:pt idx="958">
                  <c:v>712.18513894933824</c:v>
                </c:pt>
                <c:pt idx="959">
                  <c:v>712.18513894933824</c:v>
                </c:pt>
                <c:pt idx="960">
                  <c:v>712.18513894933824</c:v>
                </c:pt>
                <c:pt idx="961">
                  <c:v>712.18513894933824</c:v>
                </c:pt>
                <c:pt idx="962">
                  <c:v>712.18513894933824</c:v>
                </c:pt>
                <c:pt idx="963">
                  <c:v>712.18513894933824</c:v>
                </c:pt>
                <c:pt idx="964">
                  <c:v>712.18513894933824</c:v>
                </c:pt>
                <c:pt idx="965">
                  <c:v>712.18513894933824</c:v>
                </c:pt>
                <c:pt idx="966">
                  <c:v>712.18513894933824</c:v>
                </c:pt>
                <c:pt idx="967">
                  <c:v>712.18513894933824</c:v>
                </c:pt>
                <c:pt idx="968">
                  <c:v>712.18513894933824</c:v>
                </c:pt>
                <c:pt idx="969">
                  <c:v>712.18513894933824</c:v>
                </c:pt>
                <c:pt idx="970">
                  <c:v>712.18513894933824</c:v>
                </c:pt>
                <c:pt idx="971">
                  <c:v>712.18513894933824</c:v>
                </c:pt>
                <c:pt idx="972">
                  <c:v>712.18513894933824</c:v>
                </c:pt>
                <c:pt idx="973">
                  <c:v>712.18513894933824</c:v>
                </c:pt>
                <c:pt idx="974">
                  <c:v>712.18513894933824</c:v>
                </c:pt>
                <c:pt idx="975">
                  <c:v>712.18513894933824</c:v>
                </c:pt>
                <c:pt idx="976">
                  <c:v>712.18513894933824</c:v>
                </c:pt>
                <c:pt idx="977">
                  <c:v>712.18513894933824</c:v>
                </c:pt>
                <c:pt idx="978">
                  <c:v>712.18513894933824</c:v>
                </c:pt>
                <c:pt idx="979">
                  <c:v>712.18513894933824</c:v>
                </c:pt>
                <c:pt idx="980">
                  <c:v>712.18513894933824</c:v>
                </c:pt>
                <c:pt idx="981">
                  <c:v>712.18513894933824</c:v>
                </c:pt>
                <c:pt idx="982">
                  <c:v>712.18513894933824</c:v>
                </c:pt>
                <c:pt idx="983">
                  <c:v>712.18513894933824</c:v>
                </c:pt>
                <c:pt idx="984">
                  <c:v>712.18513894933824</c:v>
                </c:pt>
                <c:pt idx="985">
                  <c:v>712.18513894933824</c:v>
                </c:pt>
                <c:pt idx="986">
                  <c:v>712.18513894933824</c:v>
                </c:pt>
                <c:pt idx="987">
                  <c:v>712.18513894933824</c:v>
                </c:pt>
                <c:pt idx="988">
                  <c:v>712.18513894933824</c:v>
                </c:pt>
                <c:pt idx="989">
                  <c:v>712.18513894933824</c:v>
                </c:pt>
                <c:pt idx="990">
                  <c:v>712.18513894933824</c:v>
                </c:pt>
                <c:pt idx="991">
                  <c:v>712.18513894933824</c:v>
                </c:pt>
                <c:pt idx="992">
                  <c:v>712.18513894933824</c:v>
                </c:pt>
                <c:pt idx="993">
                  <c:v>712.18513894933824</c:v>
                </c:pt>
                <c:pt idx="994">
                  <c:v>712.18513894933824</c:v>
                </c:pt>
                <c:pt idx="995">
                  <c:v>712.18513894933824</c:v>
                </c:pt>
                <c:pt idx="996">
                  <c:v>712.18513894933824</c:v>
                </c:pt>
                <c:pt idx="997">
                  <c:v>712.18513894933824</c:v>
                </c:pt>
                <c:pt idx="998">
                  <c:v>712.18513894933824</c:v>
                </c:pt>
                <c:pt idx="999">
                  <c:v>712.18513894933824</c:v>
                </c:pt>
                <c:pt idx="1000">
                  <c:v>712.18513894933824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1C6-97FC-918778B11BA0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6.6</c:v>
                </c:pt>
                <c:pt idx="1">
                  <c:v>6.6099999999999994</c:v>
                </c:pt>
                <c:pt idx="2">
                  <c:v>6.6199999999999992</c:v>
                </c:pt>
                <c:pt idx="3">
                  <c:v>6.629999999999999</c:v>
                </c:pt>
                <c:pt idx="4">
                  <c:v>6.6399999999999988</c:v>
                </c:pt>
                <c:pt idx="5">
                  <c:v>6.6499999999999986</c:v>
                </c:pt>
                <c:pt idx="6">
                  <c:v>6.6599999999999984</c:v>
                </c:pt>
                <c:pt idx="7">
                  <c:v>6.6699999999999982</c:v>
                </c:pt>
                <c:pt idx="8">
                  <c:v>6.6799999999999979</c:v>
                </c:pt>
                <c:pt idx="9">
                  <c:v>6.6899999999999977</c:v>
                </c:pt>
                <c:pt idx="10">
                  <c:v>6.6999999999999975</c:v>
                </c:pt>
                <c:pt idx="11">
                  <c:v>6.7099999999999973</c:v>
                </c:pt>
                <c:pt idx="12">
                  <c:v>6.7199999999999971</c:v>
                </c:pt>
                <c:pt idx="13">
                  <c:v>6.7299999999999969</c:v>
                </c:pt>
                <c:pt idx="14">
                  <c:v>6.7399999999999967</c:v>
                </c:pt>
                <c:pt idx="15">
                  <c:v>6.7499999999999964</c:v>
                </c:pt>
                <c:pt idx="16">
                  <c:v>6.7599999999999962</c:v>
                </c:pt>
                <c:pt idx="17">
                  <c:v>6.769999999999996</c:v>
                </c:pt>
                <c:pt idx="18">
                  <c:v>6.7799999999999958</c:v>
                </c:pt>
                <c:pt idx="19">
                  <c:v>6.7899999999999956</c:v>
                </c:pt>
                <c:pt idx="20">
                  <c:v>6.7999999999999954</c:v>
                </c:pt>
                <c:pt idx="21">
                  <c:v>6.8099999999999952</c:v>
                </c:pt>
                <c:pt idx="22">
                  <c:v>6.819999999999995</c:v>
                </c:pt>
                <c:pt idx="23">
                  <c:v>6.8299999999999947</c:v>
                </c:pt>
                <c:pt idx="24">
                  <c:v>6.8399999999999945</c:v>
                </c:pt>
                <c:pt idx="25">
                  <c:v>6.8499999999999943</c:v>
                </c:pt>
                <c:pt idx="26">
                  <c:v>6.8599999999999941</c:v>
                </c:pt>
                <c:pt idx="27">
                  <c:v>6.8699999999999939</c:v>
                </c:pt>
                <c:pt idx="28">
                  <c:v>6.8799999999999937</c:v>
                </c:pt>
                <c:pt idx="29">
                  <c:v>6.8899999999999935</c:v>
                </c:pt>
                <c:pt idx="30">
                  <c:v>6.8999999999999932</c:v>
                </c:pt>
                <c:pt idx="31">
                  <c:v>6.909999999999993</c:v>
                </c:pt>
                <c:pt idx="32">
                  <c:v>6.9199999999999928</c:v>
                </c:pt>
                <c:pt idx="33">
                  <c:v>6.9299999999999926</c:v>
                </c:pt>
                <c:pt idx="34">
                  <c:v>6.9399999999999924</c:v>
                </c:pt>
                <c:pt idx="35">
                  <c:v>6.9499999999999922</c:v>
                </c:pt>
                <c:pt idx="36">
                  <c:v>6.959999999999992</c:v>
                </c:pt>
                <c:pt idx="37">
                  <c:v>6.9699999999999918</c:v>
                </c:pt>
                <c:pt idx="38">
                  <c:v>6.9799999999999915</c:v>
                </c:pt>
                <c:pt idx="39">
                  <c:v>6.9899999999999913</c:v>
                </c:pt>
                <c:pt idx="40">
                  <c:v>6.9999999999999911</c:v>
                </c:pt>
                <c:pt idx="41">
                  <c:v>7.0099999999999909</c:v>
                </c:pt>
                <c:pt idx="42">
                  <c:v>7.0199999999999907</c:v>
                </c:pt>
                <c:pt idx="43">
                  <c:v>7.0299999999999905</c:v>
                </c:pt>
                <c:pt idx="44">
                  <c:v>7.0399999999999903</c:v>
                </c:pt>
                <c:pt idx="45">
                  <c:v>7.0499999999999901</c:v>
                </c:pt>
                <c:pt idx="46">
                  <c:v>7.0599999999999898</c:v>
                </c:pt>
                <c:pt idx="47">
                  <c:v>7.0699999999999896</c:v>
                </c:pt>
                <c:pt idx="48">
                  <c:v>7.0799999999999894</c:v>
                </c:pt>
                <c:pt idx="49">
                  <c:v>7.0899999999999892</c:v>
                </c:pt>
                <c:pt idx="50">
                  <c:v>7.099999999999989</c:v>
                </c:pt>
                <c:pt idx="51">
                  <c:v>7.1099999999999888</c:v>
                </c:pt>
                <c:pt idx="52">
                  <c:v>7.1199999999999886</c:v>
                </c:pt>
                <c:pt idx="53">
                  <c:v>7.1299999999999883</c:v>
                </c:pt>
                <c:pt idx="54">
                  <c:v>7.1399999999999881</c:v>
                </c:pt>
                <c:pt idx="55">
                  <c:v>7.1499999999999879</c:v>
                </c:pt>
                <c:pt idx="56">
                  <c:v>7.1599999999999877</c:v>
                </c:pt>
                <c:pt idx="57">
                  <c:v>7.1699999999999875</c:v>
                </c:pt>
                <c:pt idx="58">
                  <c:v>7.1799999999999873</c:v>
                </c:pt>
                <c:pt idx="59">
                  <c:v>7.1899999999999871</c:v>
                </c:pt>
                <c:pt idx="60">
                  <c:v>7.1999999999999869</c:v>
                </c:pt>
                <c:pt idx="61">
                  <c:v>7.2099999999999866</c:v>
                </c:pt>
                <c:pt idx="62">
                  <c:v>7.2199999999999864</c:v>
                </c:pt>
                <c:pt idx="63">
                  <c:v>7.2299999999999862</c:v>
                </c:pt>
                <c:pt idx="64">
                  <c:v>7.239999999999986</c:v>
                </c:pt>
                <c:pt idx="65">
                  <c:v>7.2499999999999858</c:v>
                </c:pt>
                <c:pt idx="66">
                  <c:v>7.2599999999999856</c:v>
                </c:pt>
                <c:pt idx="67">
                  <c:v>7.2699999999999854</c:v>
                </c:pt>
                <c:pt idx="68">
                  <c:v>7.2799999999999851</c:v>
                </c:pt>
                <c:pt idx="69">
                  <c:v>7.2899999999999849</c:v>
                </c:pt>
                <c:pt idx="70">
                  <c:v>7.2999999999999847</c:v>
                </c:pt>
                <c:pt idx="71">
                  <c:v>7.3099999999999845</c:v>
                </c:pt>
                <c:pt idx="72">
                  <c:v>7.3199999999999843</c:v>
                </c:pt>
                <c:pt idx="73">
                  <c:v>7.3299999999999841</c:v>
                </c:pt>
                <c:pt idx="74">
                  <c:v>7.3399999999999839</c:v>
                </c:pt>
                <c:pt idx="75">
                  <c:v>7.3499999999999837</c:v>
                </c:pt>
                <c:pt idx="76">
                  <c:v>7.3599999999999834</c:v>
                </c:pt>
                <c:pt idx="77">
                  <c:v>7.3699999999999832</c:v>
                </c:pt>
                <c:pt idx="78">
                  <c:v>7.379999999999983</c:v>
                </c:pt>
                <c:pt idx="79">
                  <c:v>7.3899999999999828</c:v>
                </c:pt>
                <c:pt idx="80">
                  <c:v>7.3999999999999826</c:v>
                </c:pt>
                <c:pt idx="81">
                  <c:v>7.4099999999999824</c:v>
                </c:pt>
                <c:pt idx="82">
                  <c:v>7.4199999999999822</c:v>
                </c:pt>
                <c:pt idx="83">
                  <c:v>7.429999999999982</c:v>
                </c:pt>
                <c:pt idx="84">
                  <c:v>7.4399999999999817</c:v>
                </c:pt>
                <c:pt idx="85">
                  <c:v>7.4499999999999815</c:v>
                </c:pt>
                <c:pt idx="86">
                  <c:v>7.4599999999999813</c:v>
                </c:pt>
                <c:pt idx="87">
                  <c:v>7.4699999999999811</c:v>
                </c:pt>
                <c:pt idx="88">
                  <c:v>7.4799999999999809</c:v>
                </c:pt>
                <c:pt idx="89">
                  <c:v>7.4899999999999807</c:v>
                </c:pt>
                <c:pt idx="90">
                  <c:v>7.4999999999999805</c:v>
                </c:pt>
                <c:pt idx="91">
                  <c:v>7.5099999999999802</c:v>
                </c:pt>
                <c:pt idx="92">
                  <c:v>7.51999999999998</c:v>
                </c:pt>
                <c:pt idx="93">
                  <c:v>7.5299999999999798</c:v>
                </c:pt>
                <c:pt idx="94">
                  <c:v>7.5399999999999796</c:v>
                </c:pt>
                <c:pt idx="95">
                  <c:v>7.5499999999999794</c:v>
                </c:pt>
                <c:pt idx="96">
                  <c:v>7.5599999999999792</c:v>
                </c:pt>
                <c:pt idx="97">
                  <c:v>7.569999999999979</c:v>
                </c:pt>
                <c:pt idx="98">
                  <c:v>7.5799999999999788</c:v>
                </c:pt>
                <c:pt idx="99">
                  <c:v>7.5899999999999785</c:v>
                </c:pt>
                <c:pt idx="100">
                  <c:v>7.5999999999999783</c:v>
                </c:pt>
                <c:pt idx="101">
                  <c:v>7.6099999999999781</c:v>
                </c:pt>
                <c:pt idx="102">
                  <c:v>7.6199999999999779</c:v>
                </c:pt>
                <c:pt idx="103">
                  <c:v>7.6299999999999777</c:v>
                </c:pt>
                <c:pt idx="104">
                  <c:v>7.6399999999999775</c:v>
                </c:pt>
                <c:pt idx="105">
                  <c:v>7.6499999999999773</c:v>
                </c:pt>
                <c:pt idx="106">
                  <c:v>7.659999999999977</c:v>
                </c:pt>
                <c:pt idx="107">
                  <c:v>7.6699999999999768</c:v>
                </c:pt>
                <c:pt idx="108">
                  <c:v>7.6799999999999766</c:v>
                </c:pt>
                <c:pt idx="109">
                  <c:v>7.6899999999999764</c:v>
                </c:pt>
                <c:pt idx="110">
                  <c:v>7.6999999999999762</c:v>
                </c:pt>
                <c:pt idx="111">
                  <c:v>7.709999999999976</c:v>
                </c:pt>
                <c:pt idx="112">
                  <c:v>7.7199999999999758</c:v>
                </c:pt>
                <c:pt idx="113">
                  <c:v>7.7299999999999756</c:v>
                </c:pt>
                <c:pt idx="114">
                  <c:v>7.7399999999999753</c:v>
                </c:pt>
                <c:pt idx="115">
                  <c:v>7.7499999999999751</c:v>
                </c:pt>
                <c:pt idx="116">
                  <c:v>7.7599999999999749</c:v>
                </c:pt>
                <c:pt idx="117">
                  <c:v>7.7699999999999747</c:v>
                </c:pt>
                <c:pt idx="118">
                  <c:v>7.7799999999999745</c:v>
                </c:pt>
                <c:pt idx="119">
                  <c:v>7.7899999999999743</c:v>
                </c:pt>
                <c:pt idx="120">
                  <c:v>7.7999999999999741</c:v>
                </c:pt>
                <c:pt idx="121">
                  <c:v>7.8099999999999739</c:v>
                </c:pt>
                <c:pt idx="122">
                  <c:v>7.8199999999999736</c:v>
                </c:pt>
                <c:pt idx="123">
                  <c:v>7.8299999999999734</c:v>
                </c:pt>
                <c:pt idx="124">
                  <c:v>7.8399999999999732</c:v>
                </c:pt>
                <c:pt idx="125">
                  <c:v>7.849999999999973</c:v>
                </c:pt>
                <c:pt idx="126">
                  <c:v>7.8599999999999728</c:v>
                </c:pt>
                <c:pt idx="127">
                  <c:v>7.8699999999999726</c:v>
                </c:pt>
                <c:pt idx="128">
                  <c:v>7.8799999999999724</c:v>
                </c:pt>
                <c:pt idx="129">
                  <c:v>7.8899999999999721</c:v>
                </c:pt>
                <c:pt idx="130">
                  <c:v>7.8999999999999719</c:v>
                </c:pt>
                <c:pt idx="131">
                  <c:v>7.9099999999999717</c:v>
                </c:pt>
                <c:pt idx="132">
                  <c:v>7.9199999999999715</c:v>
                </c:pt>
                <c:pt idx="133">
                  <c:v>7.9299999999999713</c:v>
                </c:pt>
                <c:pt idx="134">
                  <c:v>7.9399999999999711</c:v>
                </c:pt>
                <c:pt idx="135">
                  <c:v>7.9499999999999709</c:v>
                </c:pt>
                <c:pt idx="136">
                  <c:v>7.9599999999999707</c:v>
                </c:pt>
                <c:pt idx="137">
                  <c:v>7.9699999999999704</c:v>
                </c:pt>
                <c:pt idx="138">
                  <c:v>7.9799999999999702</c:v>
                </c:pt>
                <c:pt idx="139">
                  <c:v>7.98999999999997</c:v>
                </c:pt>
                <c:pt idx="140">
                  <c:v>7.9999999999999698</c:v>
                </c:pt>
                <c:pt idx="141">
                  <c:v>8.0099999999999696</c:v>
                </c:pt>
                <c:pt idx="142">
                  <c:v>8.0199999999999694</c:v>
                </c:pt>
                <c:pt idx="143">
                  <c:v>8.0299999999999692</c:v>
                </c:pt>
                <c:pt idx="144">
                  <c:v>8.0399999999999689</c:v>
                </c:pt>
                <c:pt idx="145">
                  <c:v>8.0499999999999687</c:v>
                </c:pt>
                <c:pt idx="146">
                  <c:v>8.0599999999999685</c:v>
                </c:pt>
                <c:pt idx="147">
                  <c:v>8.0699999999999683</c:v>
                </c:pt>
                <c:pt idx="148">
                  <c:v>8.0799999999999681</c:v>
                </c:pt>
                <c:pt idx="149">
                  <c:v>8.0899999999999679</c:v>
                </c:pt>
                <c:pt idx="150">
                  <c:v>8.0999999999999677</c:v>
                </c:pt>
                <c:pt idx="151">
                  <c:v>8.1099999999999675</c:v>
                </c:pt>
                <c:pt idx="152">
                  <c:v>8.1199999999999672</c:v>
                </c:pt>
                <c:pt idx="153">
                  <c:v>8.129999999999967</c:v>
                </c:pt>
                <c:pt idx="154">
                  <c:v>8.1399999999999668</c:v>
                </c:pt>
                <c:pt idx="155">
                  <c:v>8.1499999999999666</c:v>
                </c:pt>
                <c:pt idx="156">
                  <c:v>8.1599999999999664</c:v>
                </c:pt>
                <c:pt idx="157">
                  <c:v>8.1699999999999662</c:v>
                </c:pt>
                <c:pt idx="158">
                  <c:v>8.179999999999966</c:v>
                </c:pt>
                <c:pt idx="159">
                  <c:v>8.1899999999999658</c:v>
                </c:pt>
                <c:pt idx="160">
                  <c:v>8.1999999999999655</c:v>
                </c:pt>
                <c:pt idx="161">
                  <c:v>8.2099999999999653</c:v>
                </c:pt>
                <c:pt idx="162">
                  <c:v>8.2199999999999651</c:v>
                </c:pt>
                <c:pt idx="163">
                  <c:v>8.2299999999999649</c:v>
                </c:pt>
                <c:pt idx="164">
                  <c:v>8.2399999999999647</c:v>
                </c:pt>
                <c:pt idx="165">
                  <c:v>8.2499999999999645</c:v>
                </c:pt>
                <c:pt idx="166">
                  <c:v>8.2599999999999643</c:v>
                </c:pt>
                <c:pt idx="167">
                  <c:v>8.269999999999964</c:v>
                </c:pt>
                <c:pt idx="168">
                  <c:v>8.2799999999999638</c:v>
                </c:pt>
                <c:pt idx="169">
                  <c:v>8.2899999999999636</c:v>
                </c:pt>
                <c:pt idx="170">
                  <c:v>8.2999999999999634</c:v>
                </c:pt>
                <c:pt idx="171">
                  <c:v>8.3099999999999632</c:v>
                </c:pt>
                <c:pt idx="172">
                  <c:v>8.319999999999963</c:v>
                </c:pt>
                <c:pt idx="173">
                  <c:v>8.3299999999999628</c:v>
                </c:pt>
                <c:pt idx="174">
                  <c:v>8.3399999999999626</c:v>
                </c:pt>
                <c:pt idx="175">
                  <c:v>8.3499999999999623</c:v>
                </c:pt>
                <c:pt idx="176">
                  <c:v>8.3599999999999621</c:v>
                </c:pt>
                <c:pt idx="177">
                  <c:v>8.3699999999999619</c:v>
                </c:pt>
                <c:pt idx="178">
                  <c:v>8.3799999999999617</c:v>
                </c:pt>
                <c:pt idx="179">
                  <c:v>8.3899999999999615</c:v>
                </c:pt>
                <c:pt idx="180">
                  <c:v>8.3999999999999613</c:v>
                </c:pt>
                <c:pt idx="181">
                  <c:v>8.4099999999999611</c:v>
                </c:pt>
                <c:pt idx="182">
                  <c:v>8.4199999999999608</c:v>
                </c:pt>
                <c:pt idx="183">
                  <c:v>8.4299999999999606</c:v>
                </c:pt>
                <c:pt idx="184">
                  <c:v>8.4399999999999604</c:v>
                </c:pt>
                <c:pt idx="185">
                  <c:v>8.4499999999999602</c:v>
                </c:pt>
                <c:pt idx="186">
                  <c:v>8.45999999999996</c:v>
                </c:pt>
                <c:pt idx="187">
                  <c:v>8.4699999999999598</c:v>
                </c:pt>
                <c:pt idx="188">
                  <c:v>8.4799999999999596</c:v>
                </c:pt>
                <c:pt idx="189">
                  <c:v>8.4899999999999594</c:v>
                </c:pt>
                <c:pt idx="190">
                  <c:v>8.4999999999999591</c:v>
                </c:pt>
                <c:pt idx="191">
                  <c:v>8.5099999999999589</c:v>
                </c:pt>
                <c:pt idx="192">
                  <c:v>8.5199999999999587</c:v>
                </c:pt>
                <c:pt idx="193">
                  <c:v>8.5299999999999585</c:v>
                </c:pt>
                <c:pt idx="194">
                  <c:v>8.5399999999999583</c:v>
                </c:pt>
                <c:pt idx="195">
                  <c:v>8.5499999999999581</c:v>
                </c:pt>
                <c:pt idx="196">
                  <c:v>8.5599999999999579</c:v>
                </c:pt>
                <c:pt idx="197">
                  <c:v>8.5699999999999577</c:v>
                </c:pt>
                <c:pt idx="198">
                  <c:v>8.5799999999999574</c:v>
                </c:pt>
                <c:pt idx="199">
                  <c:v>8.5899999999999572</c:v>
                </c:pt>
                <c:pt idx="200">
                  <c:v>8.599999999999957</c:v>
                </c:pt>
                <c:pt idx="201">
                  <c:v>8.6999999999999567</c:v>
                </c:pt>
                <c:pt idx="202">
                  <c:v>8.7999999999999563</c:v>
                </c:pt>
                <c:pt idx="203">
                  <c:v>8.8999999999999559</c:v>
                </c:pt>
                <c:pt idx="204">
                  <c:v>8.9999999999999556</c:v>
                </c:pt>
                <c:pt idx="205">
                  <c:v>9.0999999999999552</c:v>
                </c:pt>
                <c:pt idx="206">
                  <c:v>9.1999999999999549</c:v>
                </c:pt>
                <c:pt idx="207">
                  <c:v>9.2999999999999545</c:v>
                </c:pt>
                <c:pt idx="208">
                  <c:v>9.3999999999999542</c:v>
                </c:pt>
                <c:pt idx="209">
                  <c:v>9.4999999999999538</c:v>
                </c:pt>
                <c:pt idx="210">
                  <c:v>9.5999999999999535</c:v>
                </c:pt>
                <c:pt idx="211">
                  <c:v>9.6999999999999531</c:v>
                </c:pt>
                <c:pt idx="212">
                  <c:v>9.7999999999999527</c:v>
                </c:pt>
                <c:pt idx="213">
                  <c:v>9.8999999999999524</c:v>
                </c:pt>
                <c:pt idx="214">
                  <c:v>9.999999999999952</c:v>
                </c:pt>
                <c:pt idx="215">
                  <c:v>10.099999999999952</c:v>
                </c:pt>
                <c:pt idx="216">
                  <c:v>10.199999999999951</c:v>
                </c:pt>
                <c:pt idx="217">
                  <c:v>10.299999999999951</c:v>
                </c:pt>
                <c:pt idx="218">
                  <c:v>10.399999999999951</c:v>
                </c:pt>
                <c:pt idx="219">
                  <c:v>10.49999999999995</c:v>
                </c:pt>
                <c:pt idx="220">
                  <c:v>10.59999999999995</c:v>
                </c:pt>
                <c:pt idx="221">
                  <c:v>10.69999999999995</c:v>
                </c:pt>
                <c:pt idx="222">
                  <c:v>10.799999999999949</c:v>
                </c:pt>
                <c:pt idx="223">
                  <c:v>10.899999999999949</c:v>
                </c:pt>
                <c:pt idx="224">
                  <c:v>10.999999999999948</c:v>
                </c:pt>
                <c:pt idx="225">
                  <c:v>11.099999999999948</c:v>
                </c:pt>
                <c:pt idx="226">
                  <c:v>11.199999999999948</c:v>
                </c:pt>
                <c:pt idx="227">
                  <c:v>11.299999999999947</c:v>
                </c:pt>
                <c:pt idx="228">
                  <c:v>11.399999999999947</c:v>
                </c:pt>
                <c:pt idx="229">
                  <c:v>11.499999999999947</c:v>
                </c:pt>
                <c:pt idx="230">
                  <c:v>11.599999999999946</c:v>
                </c:pt>
                <c:pt idx="231">
                  <c:v>11.699999999999946</c:v>
                </c:pt>
                <c:pt idx="232">
                  <c:v>11.799999999999946</c:v>
                </c:pt>
                <c:pt idx="233">
                  <c:v>11.899999999999945</c:v>
                </c:pt>
                <c:pt idx="234">
                  <c:v>11.999999999999945</c:v>
                </c:pt>
                <c:pt idx="235">
                  <c:v>12.099999999999945</c:v>
                </c:pt>
                <c:pt idx="236">
                  <c:v>12.199999999999944</c:v>
                </c:pt>
                <c:pt idx="237">
                  <c:v>12.299999999999944</c:v>
                </c:pt>
                <c:pt idx="238">
                  <c:v>12.399999999999944</c:v>
                </c:pt>
                <c:pt idx="239">
                  <c:v>12.499999999999943</c:v>
                </c:pt>
                <c:pt idx="240">
                  <c:v>12.599999999999943</c:v>
                </c:pt>
                <c:pt idx="241">
                  <c:v>12.699999999999942</c:v>
                </c:pt>
                <c:pt idx="242">
                  <c:v>12.799999999999942</c:v>
                </c:pt>
                <c:pt idx="243">
                  <c:v>12.899999999999942</c:v>
                </c:pt>
                <c:pt idx="244">
                  <c:v>12.999999999999941</c:v>
                </c:pt>
                <c:pt idx="245">
                  <c:v>13.099999999999941</c:v>
                </c:pt>
                <c:pt idx="246">
                  <c:v>13.199999999999941</c:v>
                </c:pt>
                <c:pt idx="247">
                  <c:v>13.29999999999994</c:v>
                </c:pt>
                <c:pt idx="248">
                  <c:v>13.39999999999994</c:v>
                </c:pt>
                <c:pt idx="249">
                  <c:v>13.49999999999994</c:v>
                </c:pt>
                <c:pt idx="250">
                  <c:v>13.599999999999939</c:v>
                </c:pt>
                <c:pt idx="251">
                  <c:v>13.699999999999939</c:v>
                </c:pt>
                <c:pt idx="252">
                  <c:v>13.799999999999939</c:v>
                </c:pt>
                <c:pt idx="253">
                  <c:v>13.899999999999938</c:v>
                </c:pt>
                <c:pt idx="254">
                  <c:v>13.999999999999938</c:v>
                </c:pt>
                <c:pt idx="255">
                  <c:v>14.099999999999937</c:v>
                </c:pt>
                <c:pt idx="256">
                  <c:v>14.199999999999937</c:v>
                </c:pt>
                <c:pt idx="257">
                  <c:v>14.299999999999937</c:v>
                </c:pt>
                <c:pt idx="258">
                  <c:v>14.399999999999936</c:v>
                </c:pt>
                <c:pt idx="259">
                  <c:v>14.499999999999936</c:v>
                </c:pt>
                <c:pt idx="260">
                  <c:v>14.599999999999936</c:v>
                </c:pt>
                <c:pt idx="261">
                  <c:v>14.699999999999935</c:v>
                </c:pt>
                <c:pt idx="262">
                  <c:v>14.799999999999935</c:v>
                </c:pt>
                <c:pt idx="263">
                  <c:v>14.899999999999935</c:v>
                </c:pt>
                <c:pt idx="264">
                  <c:v>14.999999999999934</c:v>
                </c:pt>
                <c:pt idx="265">
                  <c:v>15.099999999999934</c:v>
                </c:pt>
                <c:pt idx="266">
                  <c:v>15.199999999999934</c:v>
                </c:pt>
                <c:pt idx="267">
                  <c:v>15.299999999999933</c:v>
                </c:pt>
                <c:pt idx="268">
                  <c:v>15.399999999999933</c:v>
                </c:pt>
                <c:pt idx="269">
                  <c:v>15.499999999999932</c:v>
                </c:pt>
                <c:pt idx="270">
                  <c:v>15.599999999999932</c:v>
                </c:pt>
                <c:pt idx="271">
                  <c:v>15.699999999999932</c:v>
                </c:pt>
                <c:pt idx="272">
                  <c:v>15.799999999999931</c:v>
                </c:pt>
                <c:pt idx="273">
                  <c:v>15.899999999999931</c:v>
                </c:pt>
                <c:pt idx="274">
                  <c:v>15.999999999999931</c:v>
                </c:pt>
                <c:pt idx="275">
                  <c:v>16.09999999999993</c:v>
                </c:pt>
                <c:pt idx="276">
                  <c:v>16.199999999999932</c:v>
                </c:pt>
                <c:pt idx="277">
                  <c:v>16.299999999999933</c:v>
                </c:pt>
                <c:pt idx="278">
                  <c:v>16.399999999999935</c:v>
                </c:pt>
                <c:pt idx="279">
                  <c:v>16.499999999999936</c:v>
                </c:pt>
                <c:pt idx="280">
                  <c:v>16.599999999999937</c:v>
                </c:pt>
                <c:pt idx="281">
                  <c:v>16.699999999999939</c:v>
                </c:pt>
                <c:pt idx="282">
                  <c:v>16.79999999999994</c:v>
                </c:pt>
                <c:pt idx="283">
                  <c:v>16.899999999999942</c:v>
                </c:pt>
                <c:pt idx="284">
                  <c:v>16.999999999999943</c:v>
                </c:pt>
                <c:pt idx="285">
                  <c:v>17.099999999999945</c:v>
                </c:pt>
                <c:pt idx="286">
                  <c:v>17.199999999999946</c:v>
                </c:pt>
                <c:pt idx="287">
                  <c:v>17.299999999999947</c:v>
                </c:pt>
                <c:pt idx="288">
                  <c:v>17.399999999999949</c:v>
                </c:pt>
                <c:pt idx="289">
                  <c:v>17.49999999999995</c:v>
                </c:pt>
                <c:pt idx="290">
                  <c:v>17.599999999999952</c:v>
                </c:pt>
                <c:pt idx="291">
                  <c:v>17.699999999999953</c:v>
                </c:pt>
                <c:pt idx="292">
                  <c:v>17.799999999999955</c:v>
                </c:pt>
                <c:pt idx="293">
                  <c:v>17.899999999999956</c:v>
                </c:pt>
                <c:pt idx="294">
                  <c:v>17.999999999999957</c:v>
                </c:pt>
                <c:pt idx="295">
                  <c:v>18.099999999999959</c:v>
                </c:pt>
                <c:pt idx="296">
                  <c:v>18.19999999999996</c:v>
                </c:pt>
                <c:pt idx="297">
                  <c:v>18.299999999999962</c:v>
                </c:pt>
                <c:pt idx="298">
                  <c:v>18.399999999999963</c:v>
                </c:pt>
                <c:pt idx="299">
                  <c:v>18.499999999999964</c:v>
                </c:pt>
                <c:pt idx="300">
                  <c:v>18.599999999999966</c:v>
                </c:pt>
                <c:pt idx="301">
                  <c:v>18.699999999999967</c:v>
                </c:pt>
                <c:pt idx="302">
                  <c:v>18.799999999999969</c:v>
                </c:pt>
                <c:pt idx="303">
                  <c:v>18.89999999999997</c:v>
                </c:pt>
                <c:pt idx="304">
                  <c:v>18.999999999999972</c:v>
                </c:pt>
                <c:pt idx="305">
                  <c:v>19.099999999999973</c:v>
                </c:pt>
                <c:pt idx="306">
                  <c:v>19.199999999999974</c:v>
                </c:pt>
                <c:pt idx="307">
                  <c:v>19.299999999999976</c:v>
                </c:pt>
                <c:pt idx="308">
                  <c:v>19.399999999999977</c:v>
                </c:pt>
                <c:pt idx="309">
                  <c:v>19.499999999999979</c:v>
                </c:pt>
                <c:pt idx="310">
                  <c:v>19.59999999999998</c:v>
                </c:pt>
                <c:pt idx="311">
                  <c:v>19.699999999999982</c:v>
                </c:pt>
                <c:pt idx="312">
                  <c:v>19.799999999999983</c:v>
                </c:pt>
                <c:pt idx="313">
                  <c:v>19.899999999999984</c:v>
                </c:pt>
                <c:pt idx="314">
                  <c:v>19.999999999999986</c:v>
                </c:pt>
                <c:pt idx="315">
                  <c:v>20.099999999999987</c:v>
                </c:pt>
                <c:pt idx="316">
                  <c:v>20.199999999999989</c:v>
                </c:pt>
                <c:pt idx="317">
                  <c:v>20.29999999999999</c:v>
                </c:pt>
                <c:pt idx="318">
                  <c:v>20.399999999999991</c:v>
                </c:pt>
                <c:pt idx="319">
                  <c:v>20.499999999999993</c:v>
                </c:pt>
                <c:pt idx="320">
                  <c:v>20.599999999999994</c:v>
                </c:pt>
                <c:pt idx="321">
                  <c:v>20.699999999999996</c:v>
                </c:pt>
                <c:pt idx="322">
                  <c:v>20.799999999999997</c:v>
                </c:pt>
                <c:pt idx="323">
                  <c:v>20.9</c:v>
                </c:pt>
                <c:pt idx="324">
                  <c:v>21</c:v>
                </c:pt>
                <c:pt idx="325">
                  <c:v>21.1</c:v>
                </c:pt>
                <c:pt idx="326">
                  <c:v>21.200000000000003</c:v>
                </c:pt>
                <c:pt idx="327">
                  <c:v>21.300000000000004</c:v>
                </c:pt>
                <c:pt idx="328">
                  <c:v>21.400000000000006</c:v>
                </c:pt>
                <c:pt idx="329">
                  <c:v>21.500000000000007</c:v>
                </c:pt>
                <c:pt idx="330">
                  <c:v>21.600000000000009</c:v>
                </c:pt>
                <c:pt idx="331">
                  <c:v>21.70000000000001</c:v>
                </c:pt>
                <c:pt idx="332">
                  <c:v>21.800000000000011</c:v>
                </c:pt>
                <c:pt idx="333">
                  <c:v>21.900000000000013</c:v>
                </c:pt>
                <c:pt idx="334">
                  <c:v>22.000000000000014</c:v>
                </c:pt>
                <c:pt idx="335">
                  <c:v>22.100000000000016</c:v>
                </c:pt>
                <c:pt idx="336">
                  <c:v>22.200000000000017</c:v>
                </c:pt>
                <c:pt idx="337">
                  <c:v>22.300000000000018</c:v>
                </c:pt>
                <c:pt idx="338">
                  <c:v>22.40000000000002</c:v>
                </c:pt>
                <c:pt idx="339">
                  <c:v>22.500000000000021</c:v>
                </c:pt>
                <c:pt idx="340">
                  <c:v>22.600000000000023</c:v>
                </c:pt>
                <c:pt idx="341">
                  <c:v>22.700000000000024</c:v>
                </c:pt>
                <c:pt idx="342">
                  <c:v>22.800000000000026</c:v>
                </c:pt>
                <c:pt idx="343">
                  <c:v>22.900000000000027</c:v>
                </c:pt>
                <c:pt idx="344">
                  <c:v>23.000000000000028</c:v>
                </c:pt>
                <c:pt idx="345">
                  <c:v>23.10000000000003</c:v>
                </c:pt>
                <c:pt idx="346">
                  <c:v>23.200000000000031</c:v>
                </c:pt>
                <c:pt idx="347">
                  <c:v>23.300000000000033</c:v>
                </c:pt>
                <c:pt idx="348">
                  <c:v>23.400000000000034</c:v>
                </c:pt>
                <c:pt idx="349">
                  <c:v>23.500000000000036</c:v>
                </c:pt>
                <c:pt idx="350">
                  <c:v>23.600000000000037</c:v>
                </c:pt>
                <c:pt idx="351">
                  <c:v>23.700000000000038</c:v>
                </c:pt>
                <c:pt idx="352">
                  <c:v>23.80000000000004</c:v>
                </c:pt>
                <c:pt idx="353">
                  <c:v>23.900000000000041</c:v>
                </c:pt>
                <c:pt idx="354">
                  <c:v>24.000000000000043</c:v>
                </c:pt>
                <c:pt idx="355">
                  <c:v>24.100000000000044</c:v>
                </c:pt>
                <c:pt idx="356">
                  <c:v>24.200000000000045</c:v>
                </c:pt>
                <c:pt idx="357">
                  <c:v>24.300000000000047</c:v>
                </c:pt>
                <c:pt idx="358">
                  <c:v>24.400000000000048</c:v>
                </c:pt>
                <c:pt idx="359">
                  <c:v>24.50000000000005</c:v>
                </c:pt>
                <c:pt idx="360">
                  <c:v>24.600000000000051</c:v>
                </c:pt>
                <c:pt idx="361">
                  <c:v>24.700000000000053</c:v>
                </c:pt>
                <c:pt idx="362">
                  <c:v>24.800000000000054</c:v>
                </c:pt>
                <c:pt idx="363">
                  <c:v>24.900000000000055</c:v>
                </c:pt>
                <c:pt idx="364">
                  <c:v>25.000000000000057</c:v>
                </c:pt>
                <c:pt idx="365">
                  <c:v>25.100000000000058</c:v>
                </c:pt>
                <c:pt idx="366">
                  <c:v>25.20000000000006</c:v>
                </c:pt>
                <c:pt idx="367">
                  <c:v>25.300000000000061</c:v>
                </c:pt>
                <c:pt idx="368">
                  <c:v>25.400000000000063</c:v>
                </c:pt>
                <c:pt idx="369">
                  <c:v>25.500000000000064</c:v>
                </c:pt>
                <c:pt idx="370">
                  <c:v>25.600000000000065</c:v>
                </c:pt>
                <c:pt idx="371">
                  <c:v>25.700000000000067</c:v>
                </c:pt>
                <c:pt idx="372">
                  <c:v>25.800000000000068</c:v>
                </c:pt>
                <c:pt idx="373">
                  <c:v>25.90000000000007</c:v>
                </c:pt>
                <c:pt idx="374">
                  <c:v>26.000000000000071</c:v>
                </c:pt>
                <c:pt idx="375">
                  <c:v>26.100000000000072</c:v>
                </c:pt>
                <c:pt idx="376">
                  <c:v>26.200000000000074</c:v>
                </c:pt>
                <c:pt idx="377">
                  <c:v>26.300000000000075</c:v>
                </c:pt>
                <c:pt idx="378">
                  <c:v>26.400000000000077</c:v>
                </c:pt>
                <c:pt idx="379">
                  <c:v>26.500000000000078</c:v>
                </c:pt>
                <c:pt idx="380">
                  <c:v>26.60000000000008</c:v>
                </c:pt>
                <c:pt idx="381">
                  <c:v>26.700000000000081</c:v>
                </c:pt>
                <c:pt idx="382">
                  <c:v>26.800000000000082</c:v>
                </c:pt>
                <c:pt idx="383">
                  <c:v>26.900000000000084</c:v>
                </c:pt>
                <c:pt idx="384">
                  <c:v>27.000000000000085</c:v>
                </c:pt>
                <c:pt idx="385">
                  <c:v>27.100000000000087</c:v>
                </c:pt>
                <c:pt idx="386">
                  <c:v>27.200000000000088</c:v>
                </c:pt>
                <c:pt idx="387">
                  <c:v>27.30000000000009</c:v>
                </c:pt>
                <c:pt idx="388">
                  <c:v>27.400000000000091</c:v>
                </c:pt>
                <c:pt idx="389">
                  <c:v>27.500000000000092</c:v>
                </c:pt>
                <c:pt idx="390">
                  <c:v>27.600000000000094</c:v>
                </c:pt>
                <c:pt idx="391">
                  <c:v>27.700000000000095</c:v>
                </c:pt>
                <c:pt idx="392">
                  <c:v>27.800000000000097</c:v>
                </c:pt>
                <c:pt idx="393">
                  <c:v>27.900000000000098</c:v>
                </c:pt>
                <c:pt idx="394">
                  <c:v>28.000000000000099</c:v>
                </c:pt>
                <c:pt idx="395">
                  <c:v>28.100000000000101</c:v>
                </c:pt>
                <c:pt idx="396">
                  <c:v>28.200000000000102</c:v>
                </c:pt>
                <c:pt idx="397">
                  <c:v>28.300000000000104</c:v>
                </c:pt>
                <c:pt idx="398">
                  <c:v>28.400000000000105</c:v>
                </c:pt>
                <c:pt idx="399">
                  <c:v>28.500000000000107</c:v>
                </c:pt>
                <c:pt idx="400">
                  <c:v>28.600000000000108</c:v>
                </c:pt>
                <c:pt idx="401">
                  <c:v>28.700000000000109</c:v>
                </c:pt>
                <c:pt idx="402">
                  <c:v>28.800000000000111</c:v>
                </c:pt>
                <c:pt idx="403">
                  <c:v>28.900000000000112</c:v>
                </c:pt>
                <c:pt idx="404">
                  <c:v>29.000000000000114</c:v>
                </c:pt>
                <c:pt idx="405">
                  <c:v>29.100000000000115</c:v>
                </c:pt>
                <c:pt idx="406">
                  <c:v>29.200000000000117</c:v>
                </c:pt>
                <c:pt idx="407">
                  <c:v>29.300000000000118</c:v>
                </c:pt>
                <c:pt idx="408">
                  <c:v>29.400000000000119</c:v>
                </c:pt>
                <c:pt idx="409">
                  <c:v>29.500000000000121</c:v>
                </c:pt>
                <c:pt idx="410">
                  <c:v>29.600000000000122</c:v>
                </c:pt>
                <c:pt idx="411">
                  <c:v>29.700000000000124</c:v>
                </c:pt>
                <c:pt idx="412">
                  <c:v>29.800000000000125</c:v>
                </c:pt>
                <c:pt idx="413">
                  <c:v>29.900000000000126</c:v>
                </c:pt>
                <c:pt idx="414">
                  <c:v>30.000000000000128</c:v>
                </c:pt>
                <c:pt idx="415">
                  <c:v>30.100000000000129</c:v>
                </c:pt>
                <c:pt idx="416">
                  <c:v>30.200000000000131</c:v>
                </c:pt>
                <c:pt idx="417">
                  <c:v>30.300000000000132</c:v>
                </c:pt>
                <c:pt idx="418">
                  <c:v>30.400000000000134</c:v>
                </c:pt>
                <c:pt idx="419">
                  <c:v>30.500000000000135</c:v>
                </c:pt>
                <c:pt idx="420">
                  <c:v>30.600000000000136</c:v>
                </c:pt>
                <c:pt idx="421">
                  <c:v>30.700000000000138</c:v>
                </c:pt>
                <c:pt idx="422">
                  <c:v>30.800000000000139</c:v>
                </c:pt>
                <c:pt idx="423">
                  <c:v>30.900000000000141</c:v>
                </c:pt>
                <c:pt idx="424">
                  <c:v>31.000000000000142</c:v>
                </c:pt>
                <c:pt idx="425">
                  <c:v>31.100000000000144</c:v>
                </c:pt>
                <c:pt idx="426">
                  <c:v>31.200000000000145</c:v>
                </c:pt>
                <c:pt idx="427">
                  <c:v>31.300000000000146</c:v>
                </c:pt>
                <c:pt idx="428">
                  <c:v>31.400000000000148</c:v>
                </c:pt>
                <c:pt idx="429">
                  <c:v>31.500000000000149</c:v>
                </c:pt>
                <c:pt idx="430">
                  <c:v>31.600000000000151</c:v>
                </c:pt>
                <c:pt idx="431">
                  <c:v>31.700000000000152</c:v>
                </c:pt>
                <c:pt idx="432">
                  <c:v>31.800000000000153</c:v>
                </c:pt>
                <c:pt idx="433">
                  <c:v>31.900000000000155</c:v>
                </c:pt>
                <c:pt idx="434">
                  <c:v>32.000000000000156</c:v>
                </c:pt>
                <c:pt idx="435">
                  <c:v>32.100000000000158</c:v>
                </c:pt>
                <c:pt idx="436">
                  <c:v>32.200000000000159</c:v>
                </c:pt>
                <c:pt idx="437">
                  <c:v>32.300000000000161</c:v>
                </c:pt>
                <c:pt idx="438">
                  <c:v>32.400000000000162</c:v>
                </c:pt>
                <c:pt idx="439">
                  <c:v>32.500000000000163</c:v>
                </c:pt>
                <c:pt idx="440">
                  <c:v>32.600000000000165</c:v>
                </c:pt>
                <c:pt idx="441">
                  <c:v>32.700000000000166</c:v>
                </c:pt>
                <c:pt idx="442">
                  <c:v>32.800000000000168</c:v>
                </c:pt>
                <c:pt idx="443">
                  <c:v>32.900000000000169</c:v>
                </c:pt>
                <c:pt idx="444">
                  <c:v>33.000000000000171</c:v>
                </c:pt>
                <c:pt idx="445">
                  <c:v>33.100000000000172</c:v>
                </c:pt>
                <c:pt idx="446">
                  <c:v>33.200000000000173</c:v>
                </c:pt>
                <c:pt idx="447">
                  <c:v>33.300000000000175</c:v>
                </c:pt>
                <c:pt idx="448">
                  <c:v>33.400000000000176</c:v>
                </c:pt>
                <c:pt idx="449">
                  <c:v>33.500000000000178</c:v>
                </c:pt>
                <c:pt idx="450">
                  <c:v>33.600000000000179</c:v>
                </c:pt>
                <c:pt idx="451">
                  <c:v>33.70000000000018</c:v>
                </c:pt>
                <c:pt idx="452">
                  <c:v>33.800000000000182</c:v>
                </c:pt>
                <c:pt idx="453">
                  <c:v>33.900000000000183</c:v>
                </c:pt>
                <c:pt idx="454">
                  <c:v>34.000000000000185</c:v>
                </c:pt>
                <c:pt idx="455">
                  <c:v>34.100000000000186</c:v>
                </c:pt>
                <c:pt idx="456">
                  <c:v>34.200000000000188</c:v>
                </c:pt>
                <c:pt idx="457">
                  <c:v>34.300000000000189</c:v>
                </c:pt>
                <c:pt idx="458">
                  <c:v>34.40000000000019</c:v>
                </c:pt>
                <c:pt idx="459">
                  <c:v>34.500000000000192</c:v>
                </c:pt>
                <c:pt idx="460">
                  <c:v>34.600000000000193</c:v>
                </c:pt>
                <c:pt idx="461">
                  <c:v>34.700000000000195</c:v>
                </c:pt>
                <c:pt idx="462">
                  <c:v>34.800000000000196</c:v>
                </c:pt>
                <c:pt idx="463">
                  <c:v>34.900000000000198</c:v>
                </c:pt>
                <c:pt idx="464">
                  <c:v>35.000000000000199</c:v>
                </c:pt>
                <c:pt idx="465">
                  <c:v>35.1000000000002</c:v>
                </c:pt>
                <c:pt idx="466">
                  <c:v>35.200000000000202</c:v>
                </c:pt>
                <c:pt idx="467">
                  <c:v>35.300000000000203</c:v>
                </c:pt>
                <c:pt idx="468">
                  <c:v>35.400000000000205</c:v>
                </c:pt>
                <c:pt idx="469">
                  <c:v>35.500000000000206</c:v>
                </c:pt>
                <c:pt idx="470">
                  <c:v>35.600000000000207</c:v>
                </c:pt>
                <c:pt idx="471">
                  <c:v>35.700000000000209</c:v>
                </c:pt>
                <c:pt idx="472">
                  <c:v>35.80000000000021</c:v>
                </c:pt>
                <c:pt idx="473">
                  <c:v>35.900000000000212</c:v>
                </c:pt>
                <c:pt idx="474">
                  <c:v>36.000000000000213</c:v>
                </c:pt>
                <c:pt idx="475">
                  <c:v>36.100000000000215</c:v>
                </c:pt>
                <c:pt idx="476">
                  <c:v>36.200000000000216</c:v>
                </c:pt>
                <c:pt idx="477">
                  <c:v>36.300000000000217</c:v>
                </c:pt>
                <c:pt idx="478">
                  <c:v>36.400000000000219</c:v>
                </c:pt>
                <c:pt idx="479">
                  <c:v>36.50000000000022</c:v>
                </c:pt>
                <c:pt idx="480">
                  <c:v>36.600000000000222</c:v>
                </c:pt>
                <c:pt idx="481">
                  <c:v>36.700000000000223</c:v>
                </c:pt>
                <c:pt idx="482">
                  <c:v>36.800000000000225</c:v>
                </c:pt>
                <c:pt idx="483">
                  <c:v>36.900000000000226</c:v>
                </c:pt>
                <c:pt idx="484">
                  <c:v>37.000000000000227</c:v>
                </c:pt>
                <c:pt idx="485">
                  <c:v>37.100000000000229</c:v>
                </c:pt>
                <c:pt idx="486">
                  <c:v>37.20000000000023</c:v>
                </c:pt>
                <c:pt idx="487">
                  <c:v>37.300000000000232</c:v>
                </c:pt>
                <c:pt idx="488">
                  <c:v>37.400000000000233</c:v>
                </c:pt>
                <c:pt idx="489">
                  <c:v>37.500000000000234</c:v>
                </c:pt>
                <c:pt idx="490">
                  <c:v>37.600000000000236</c:v>
                </c:pt>
                <c:pt idx="491">
                  <c:v>37.700000000000237</c:v>
                </c:pt>
                <c:pt idx="492">
                  <c:v>37.800000000000239</c:v>
                </c:pt>
                <c:pt idx="493">
                  <c:v>37.90000000000024</c:v>
                </c:pt>
                <c:pt idx="494">
                  <c:v>38.000000000000242</c:v>
                </c:pt>
                <c:pt idx="495">
                  <c:v>38.100000000000243</c:v>
                </c:pt>
                <c:pt idx="496">
                  <c:v>38.200000000000244</c:v>
                </c:pt>
                <c:pt idx="497">
                  <c:v>38.300000000000246</c:v>
                </c:pt>
                <c:pt idx="498">
                  <c:v>38.400000000000247</c:v>
                </c:pt>
                <c:pt idx="499">
                  <c:v>38.500000000000249</c:v>
                </c:pt>
                <c:pt idx="500">
                  <c:v>38.60000000000025</c:v>
                </c:pt>
                <c:pt idx="501">
                  <c:v>38.700000000000252</c:v>
                </c:pt>
                <c:pt idx="502">
                  <c:v>38.800000000000253</c:v>
                </c:pt>
                <c:pt idx="503">
                  <c:v>38.900000000000254</c:v>
                </c:pt>
                <c:pt idx="504">
                  <c:v>39.000000000000256</c:v>
                </c:pt>
                <c:pt idx="505">
                  <c:v>39.100000000000257</c:v>
                </c:pt>
                <c:pt idx="506">
                  <c:v>39.200000000000259</c:v>
                </c:pt>
                <c:pt idx="507">
                  <c:v>39.30000000000026</c:v>
                </c:pt>
                <c:pt idx="508">
                  <c:v>39.400000000000261</c:v>
                </c:pt>
                <c:pt idx="509">
                  <c:v>39.500000000000263</c:v>
                </c:pt>
                <c:pt idx="510">
                  <c:v>39.600000000000264</c:v>
                </c:pt>
                <c:pt idx="511">
                  <c:v>39.700000000000266</c:v>
                </c:pt>
                <c:pt idx="512">
                  <c:v>39.800000000000267</c:v>
                </c:pt>
                <c:pt idx="513">
                  <c:v>39.900000000000269</c:v>
                </c:pt>
                <c:pt idx="514">
                  <c:v>40.00000000000027</c:v>
                </c:pt>
                <c:pt idx="515">
                  <c:v>40.100000000000271</c:v>
                </c:pt>
                <c:pt idx="516">
                  <c:v>40.200000000000273</c:v>
                </c:pt>
                <c:pt idx="517">
                  <c:v>40.300000000000274</c:v>
                </c:pt>
                <c:pt idx="518">
                  <c:v>40.400000000000276</c:v>
                </c:pt>
                <c:pt idx="519">
                  <c:v>40.500000000000277</c:v>
                </c:pt>
                <c:pt idx="520">
                  <c:v>40.600000000000279</c:v>
                </c:pt>
                <c:pt idx="521">
                  <c:v>40.70000000000028</c:v>
                </c:pt>
                <c:pt idx="522">
                  <c:v>40.800000000000281</c:v>
                </c:pt>
                <c:pt idx="523">
                  <c:v>40.900000000000283</c:v>
                </c:pt>
                <c:pt idx="524">
                  <c:v>41.000000000000284</c:v>
                </c:pt>
                <c:pt idx="525">
                  <c:v>41.100000000000286</c:v>
                </c:pt>
                <c:pt idx="526">
                  <c:v>41.200000000000287</c:v>
                </c:pt>
                <c:pt idx="527">
                  <c:v>41.300000000000288</c:v>
                </c:pt>
                <c:pt idx="528">
                  <c:v>41.40000000000029</c:v>
                </c:pt>
                <c:pt idx="529">
                  <c:v>41.500000000000291</c:v>
                </c:pt>
                <c:pt idx="530">
                  <c:v>41.600000000000293</c:v>
                </c:pt>
                <c:pt idx="531">
                  <c:v>41.600100000000296</c:v>
                </c:pt>
                <c:pt idx="532">
                  <c:v>41.600200000000299</c:v>
                </c:pt>
                <c:pt idx="533">
                  <c:v>41.600300000000303</c:v>
                </c:pt>
                <c:pt idx="534">
                  <c:v>41.600400000000306</c:v>
                </c:pt>
                <c:pt idx="535">
                  <c:v>41.600500000000309</c:v>
                </c:pt>
                <c:pt idx="536">
                  <c:v>41.600600000000313</c:v>
                </c:pt>
                <c:pt idx="537">
                  <c:v>41.600700000000316</c:v>
                </c:pt>
                <c:pt idx="538">
                  <c:v>41.600800000000319</c:v>
                </c:pt>
                <c:pt idx="539">
                  <c:v>41.600900000000323</c:v>
                </c:pt>
                <c:pt idx="540">
                  <c:v>41.601000000000326</c:v>
                </c:pt>
                <c:pt idx="541">
                  <c:v>41.601100000000329</c:v>
                </c:pt>
                <c:pt idx="542">
                  <c:v>41.601200000000333</c:v>
                </c:pt>
                <c:pt idx="543">
                  <c:v>41.601300000000336</c:v>
                </c:pt>
                <c:pt idx="544">
                  <c:v>41.601400000000339</c:v>
                </c:pt>
                <c:pt idx="545">
                  <c:v>41.601500000000343</c:v>
                </c:pt>
                <c:pt idx="546">
                  <c:v>41.601600000000346</c:v>
                </c:pt>
                <c:pt idx="547">
                  <c:v>41.601700000000349</c:v>
                </c:pt>
                <c:pt idx="548">
                  <c:v>41.601800000000352</c:v>
                </c:pt>
                <c:pt idx="549">
                  <c:v>41.601900000000356</c:v>
                </c:pt>
                <c:pt idx="550">
                  <c:v>41.602000000000359</c:v>
                </c:pt>
                <c:pt idx="551">
                  <c:v>41.602100000000362</c:v>
                </c:pt>
                <c:pt idx="552">
                  <c:v>41.602200000000366</c:v>
                </c:pt>
                <c:pt idx="553">
                  <c:v>41.602300000000369</c:v>
                </c:pt>
                <c:pt idx="554">
                  <c:v>41.602400000000372</c:v>
                </c:pt>
                <c:pt idx="555">
                  <c:v>41.602500000000376</c:v>
                </c:pt>
                <c:pt idx="556">
                  <c:v>41.602600000000379</c:v>
                </c:pt>
                <c:pt idx="557">
                  <c:v>41.602700000000382</c:v>
                </c:pt>
                <c:pt idx="558">
                  <c:v>41.602800000000386</c:v>
                </c:pt>
                <c:pt idx="559">
                  <c:v>41.602900000000389</c:v>
                </c:pt>
                <c:pt idx="560">
                  <c:v>41.603000000000392</c:v>
                </c:pt>
                <c:pt idx="561">
                  <c:v>41.603100000000396</c:v>
                </c:pt>
                <c:pt idx="562">
                  <c:v>41.603200000000399</c:v>
                </c:pt>
                <c:pt idx="563">
                  <c:v>41.603300000000402</c:v>
                </c:pt>
                <c:pt idx="564">
                  <c:v>41.603400000000406</c:v>
                </c:pt>
                <c:pt idx="565">
                  <c:v>41.603500000000409</c:v>
                </c:pt>
                <c:pt idx="566">
                  <c:v>41.603600000000412</c:v>
                </c:pt>
                <c:pt idx="567">
                  <c:v>41.603700000000416</c:v>
                </c:pt>
                <c:pt idx="568">
                  <c:v>41.603800000000419</c:v>
                </c:pt>
                <c:pt idx="569">
                  <c:v>41.603900000000422</c:v>
                </c:pt>
                <c:pt idx="570">
                  <c:v>41.604000000000426</c:v>
                </c:pt>
                <c:pt idx="571">
                  <c:v>41.604100000000429</c:v>
                </c:pt>
                <c:pt idx="572">
                  <c:v>41.604200000000432</c:v>
                </c:pt>
                <c:pt idx="573">
                  <c:v>41.604300000000435</c:v>
                </c:pt>
                <c:pt idx="574">
                  <c:v>41.604400000000439</c:v>
                </c:pt>
                <c:pt idx="575">
                  <c:v>41.604500000000442</c:v>
                </c:pt>
                <c:pt idx="576">
                  <c:v>41.604600000000445</c:v>
                </c:pt>
                <c:pt idx="577">
                  <c:v>41.604700000000449</c:v>
                </c:pt>
                <c:pt idx="578">
                  <c:v>41.604800000000452</c:v>
                </c:pt>
                <c:pt idx="579">
                  <c:v>41.604900000000455</c:v>
                </c:pt>
                <c:pt idx="580">
                  <c:v>41.605000000000459</c:v>
                </c:pt>
                <c:pt idx="581">
                  <c:v>41.605100000000462</c:v>
                </c:pt>
                <c:pt idx="582">
                  <c:v>41.605200000000465</c:v>
                </c:pt>
                <c:pt idx="583">
                  <c:v>41.605300000000469</c:v>
                </c:pt>
                <c:pt idx="584">
                  <c:v>41.605400000000472</c:v>
                </c:pt>
                <c:pt idx="585">
                  <c:v>41.605500000000475</c:v>
                </c:pt>
                <c:pt idx="586">
                  <c:v>41.605600000000479</c:v>
                </c:pt>
                <c:pt idx="587">
                  <c:v>41.605700000000482</c:v>
                </c:pt>
                <c:pt idx="588">
                  <c:v>41.605800000000485</c:v>
                </c:pt>
                <c:pt idx="589">
                  <c:v>41.605900000000489</c:v>
                </c:pt>
                <c:pt idx="590">
                  <c:v>41.606000000000492</c:v>
                </c:pt>
                <c:pt idx="591">
                  <c:v>41.606100000000495</c:v>
                </c:pt>
                <c:pt idx="592">
                  <c:v>41.606200000000499</c:v>
                </c:pt>
                <c:pt idx="593">
                  <c:v>41.606300000000502</c:v>
                </c:pt>
                <c:pt idx="594">
                  <c:v>41.606400000000505</c:v>
                </c:pt>
                <c:pt idx="595">
                  <c:v>41.606500000000509</c:v>
                </c:pt>
                <c:pt idx="596">
                  <c:v>41.606600000000512</c:v>
                </c:pt>
                <c:pt idx="597">
                  <c:v>41.606700000000515</c:v>
                </c:pt>
                <c:pt idx="598">
                  <c:v>41.606800000000518</c:v>
                </c:pt>
                <c:pt idx="599">
                  <c:v>41.606900000000522</c:v>
                </c:pt>
                <c:pt idx="600">
                  <c:v>41.607000000000525</c:v>
                </c:pt>
                <c:pt idx="601">
                  <c:v>41.607100000000528</c:v>
                </c:pt>
                <c:pt idx="602">
                  <c:v>41.607200000000532</c:v>
                </c:pt>
                <c:pt idx="603">
                  <c:v>41.607300000000535</c:v>
                </c:pt>
                <c:pt idx="604">
                  <c:v>41.607400000000538</c:v>
                </c:pt>
                <c:pt idx="605">
                  <c:v>41.607500000000542</c:v>
                </c:pt>
                <c:pt idx="606">
                  <c:v>41.607600000000545</c:v>
                </c:pt>
                <c:pt idx="607">
                  <c:v>41.607700000000548</c:v>
                </c:pt>
                <c:pt idx="608">
                  <c:v>41.607800000000552</c:v>
                </c:pt>
                <c:pt idx="609">
                  <c:v>41.607900000000555</c:v>
                </c:pt>
                <c:pt idx="610">
                  <c:v>41.608000000000558</c:v>
                </c:pt>
                <c:pt idx="611">
                  <c:v>41.608100000000562</c:v>
                </c:pt>
                <c:pt idx="612">
                  <c:v>41.608200000000565</c:v>
                </c:pt>
                <c:pt idx="613">
                  <c:v>41.608300000000568</c:v>
                </c:pt>
                <c:pt idx="614">
                  <c:v>41.608400000000572</c:v>
                </c:pt>
                <c:pt idx="615">
                  <c:v>41.608500000000575</c:v>
                </c:pt>
                <c:pt idx="616">
                  <c:v>41.608600000000578</c:v>
                </c:pt>
                <c:pt idx="617">
                  <c:v>41.608700000000582</c:v>
                </c:pt>
                <c:pt idx="618">
                  <c:v>41.608800000000585</c:v>
                </c:pt>
                <c:pt idx="619">
                  <c:v>41.608900000000588</c:v>
                </c:pt>
                <c:pt idx="620">
                  <c:v>41.609000000000592</c:v>
                </c:pt>
                <c:pt idx="621">
                  <c:v>41.609100000000595</c:v>
                </c:pt>
                <c:pt idx="622">
                  <c:v>41.609200000000598</c:v>
                </c:pt>
                <c:pt idx="623">
                  <c:v>41.609300000000601</c:v>
                </c:pt>
                <c:pt idx="624">
                  <c:v>41.609400000000605</c:v>
                </c:pt>
                <c:pt idx="625">
                  <c:v>41.609500000000608</c:v>
                </c:pt>
                <c:pt idx="626">
                  <c:v>41.609600000000611</c:v>
                </c:pt>
                <c:pt idx="627">
                  <c:v>41.609700000000615</c:v>
                </c:pt>
                <c:pt idx="628">
                  <c:v>41.609800000000618</c:v>
                </c:pt>
                <c:pt idx="629">
                  <c:v>41.609900000000621</c:v>
                </c:pt>
                <c:pt idx="630">
                  <c:v>41.610000000000625</c:v>
                </c:pt>
                <c:pt idx="631">
                  <c:v>41.610100000000628</c:v>
                </c:pt>
                <c:pt idx="632">
                  <c:v>41.610200000000631</c:v>
                </c:pt>
                <c:pt idx="633">
                  <c:v>41.610300000000635</c:v>
                </c:pt>
                <c:pt idx="634">
                  <c:v>41.610400000000638</c:v>
                </c:pt>
                <c:pt idx="635">
                  <c:v>41.610500000000641</c:v>
                </c:pt>
                <c:pt idx="636">
                  <c:v>41.610600000000645</c:v>
                </c:pt>
                <c:pt idx="637">
                  <c:v>41.610700000000648</c:v>
                </c:pt>
                <c:pt idx="638">
                  <c:v>41.610800000000651</c:v>
                </c:pt>
                <c:pt idx="639">
                  <c:v>41.610900000000655</c:v>
                </c:pt>
                <c:pt idx="640">
                  <c:v>41.611000000000658</c:v>
                </c:pt>
                <c:pt idx="641">
                  <c:v>41.611100000000661</c:v>
                </c:pt>
                <c:pt idx="642">
                  <c:v>41.611200000000665</c:v>
                </c:pt>
                <c:pt idx="643">
                  <c:v>41.611300000000668</c:v>
                </c:pt>
                <c:pt idx="644">
                  <c:v>41.611400000000671</c:v>
                </c:pt>
                <c:pt idx="645">
                  <c:v>41.611500000000675</c:v>
                </c:pt>
                <c:pt idx="646">
                  <c:v>41.611600000000678</c:v>
                </c:pt>
                <c:pt idx="647">
                  <c:v>41.611700000000681</c:v>
                </c:pt>
                <c:pt idx="648">
                  <c:v>41.611800000000684</c:v>
                </c:pt>
                <c:pt idx="649">
                  <c:v>41.611900000000688</c:v>
                </c:pt>
                <c:pt idx="650">
                  <c:v>41.612000000000691</c:v>
                </c:pt>
                <c:pt idx="651">
                  <c:v>41.612100000000694</c:v>
                </c:pt>
                <c:pt idx="652">
                  <c:v>41.612200000000698</c:v>
                </c:pt>
                <c:pt idx="653">
                  <c:v>41.612300000000701</c:v>
                </c:pt>
                <c:pt idx="654">
                  <c:v>41.612400000000704</c:v>
                </c:pt>
                <c:pt idx="655">
                  <c:v>41.612500000000708</c:v>
                </c:pt>
                <c:pt idx="656">
                  <c:v>41.612600000000711</c:v>
                </c:pt>
                <c:pt idx="657">
                  <c:v>41.612700000000714</c:v>
                </c:pt>
                <c:pt idx="658">
                  <c:v>41.612800000000718</c:v>
                </c:pt>
                <c:pt idx="659">
                  <c:v>41.612900000000721</c:v>
                </c:pt>
                <c:pt idx="660">
                  <c:v>41.613000000000724</c:v>
                </c:pt>
                <c:pt idx="661">
                  <c:v>41.613100000000728</c:v>
                </c:pt>
                <c:pt idx="662">
                  <c:v>41.613200000000731</c:v>
                </c:pt>
                <c:pt idx="663">
                  <c:v>41.613300000000734</c:v>
                </c:pt>
                <c:pt idx="664">
                  <c:v>41.613400000000738</c:v>
                </c:pt>
                <c:pt idx="665">
                  <c:v>41.613500000000741</c:v>
                </c:pt>
                <c:pt idx="666">
                  <c:v>41.613600000000744</c:v>
                </c:pt>
                <c:pt idx="667">
                  <c:v>41.613700000000748</c:v>
                </c:pt>
                <c:pt idx="668">
                  <c:v>41.613800000000751</c:v>
                </c:pt>
                <c:pt idx="669">
                  <c:v>41.613900000000754</c:v>
                </c:pt>
                <c:pt idx="670">
                  <c:v>41.614000000000757</c:v>
                </c:pt>
                <c:pt idx="671">
                  <c:v>41.614100000000761</c:v>
                </c:pt>
                <c:pt idx="672">
                  <c:v>41.614200000000764</c:v>
                </c:pt>
                <c:pt idx="673">
                  <c:v>41.614300000000767</c:v>
                </c:pt>
                <c:pt idx="674">
                  <c:v>41.614400000000771</c:v>
                </c:pt>
                <c:pt idx="675">
                  <c:v>41.614500000000774</c:v>
                </c:pt>
                <c:pt idx="676">
                  <c:v>41.614600000000777</c:v>
                </c:pt>
                <c:pt idx="677">
                  <c:v>41.614700000000781</c:v>
                </c:pt>
                <c:pt idx="678">
                  <c:v>41.614800000000784</c:v>
                </c:pt>
                <c:pt idx="679">
                  <c:v>41.614900000000787</c:v>
                </c:pt>
                <c:pt idx="680">
                  <c:v>41.615000000000791</c:v>
                </c:pt>
                <c:pt idx="681">
                  <c:v>41.615100000000794</c:v>
                </c:pt>
                <c:pt idx="682">
                  <c:v>41.615200000000797</c:v>
                </c:pt>
                <c:pt idx="683">
                  <c:v>41.615300000000801</c:v>
                </c:pt>
                <c:pt idx="684">
                  <c:v>41.615400000000804</c:v>
                </c:pt>
                <c:pt idx="685">
                  <c:v>41.615500000000807</c:v>
                </c:pt>
                <c:pt idx="686">
                  <c:v>41.615600000000811</c:v>
                </c:pt>
                <c:pt idx="687">
                  <c:v>41.615700000000814</c:v>
                </c:pt>
                <c:pt idx="688">
                  <c:v>41.615800000000817</c:v>
                </c:pt>
                <c:pt idx="689">
                  <c:v>41.615900000000821</c:v>
                </c:pt>
                <c:pt idx="690">
                  <c:v>41.616000000000824</c:v>
                </c:pt>
                <c:pt idx="691">
                  <c:v>41.616100000000827</c:v>
                </c:pt>
                <c:pt idx="692">
                  <c:v>41.616200000000831</c:v>
                </c:pt>
                <c:pt idx="693">
                  <c:v>41.616300000000834</c:v>
                </c:pt>
                <c:pt idx="694">
                  <c:v>41.616400000000837</c:v>
                </c:pt>
                <c:pt idx="695">
                  <c:v>41.61650000000084</c:v>
                </c:pt>
                <c:pt idx="696">
                  <c:v>41.616600000000844</c:v>
                </c:pt>
                <c:pt idx="697">
                  <c:v>41.616700000000847</c:v>
                </c:pt>
                <c:pt idx="698">
                  <c:v>41.61680000000085</c:v>
                </c:pt>
                <c:pt idx="699">
                  <c:v>41.616900000000854</c:v>
                </c:pt>
                <c:pt idx="700">
                  <c:v>41.617000000000857</c:v>
                </c:pt>
                <c:pt idx="701">
                  <c:v>41.61710000000086</c:v>
                </c:pt>
                <c:pt idx="702">
                  <c:v>41.617200000000864</c:v>
                </c:pt>
                <c:pt idx="703">
                  <c:v>41.617300000000867</c:v>
                </c:pt>
                <c:pt idx="704">
                  <c:v>41.61740000000087</c:v>
                </c:pt>
                <c:pt idx="705">
                  <c:v>41.617500000000874</c:v>
                </c:pt>
                <c:pt idx="706">
                  <c:v>41.617600000000877</c:v>
                </c:pt>
                <c:pt idx="707">
                  <c:v>41.61770000000088</c:v>
                </c:pt>
                <c:pt idx="708">
                  <c:v>41.617800000000884</c:v>
                </c:pt>
                <c:pt idx="709">
                  <c:v>41.617900000000887</c:v>
                </c:pt>
                <c:pt idx="710">
                  <c:v>41.61800000000089</c:v>
                </c:pt>
                <c:pt idx="711">
                  <c:v>41.618100000000894</c:v>
                </c:pt>
                <c:pt idx="712">
                  <c:v>41.618200000000897</c:v>
                </c:pt>
                <c:pt idx="713">
                  <c:v>41.6183000000009</c:v>
                </c:pt>
                <c:pt idx="714">
                  <c:v>41.618400000000904</c:v>
                </c:pt>
                <c:pt idx="715">
                  <c:v>41.618500000000907</c:v>
                </c:pt>
                <c:pt idx="716">
                  <c:v>41.61860000000091</c:v>
                </c:pt>
                <c:pt idx="717">
                  <c:v>41.618700000000914</c:v>
                </c:pt>
                <c:pt idx="718">
                  <c:v>41.618800000000917</c:v>
                </c:pt>
                <c:pt idx="719">
                  <c:v>41.61890000000092</c:v>
                </c:pt>
                <c:pt idx="720">
                  <c:v>41.619000000000923</c:v>
                </c:pt>
                <c:pt idx="721">
                  <c:v>41.619100000000927</c:v>
                </c:pt>
                <c:pt idx="722">
                  <c:v>41.61920000000093</c:v>
                </c:pt>
                <c:pt idx="723">
                  <c:v>41.619300000000933</c:v>
                </c:pt>
                <c:pt idx="724">
                  <c:v>41.619400000000937</c:v>
                </c:pt>
                <c:pt idx="725">
                  <c:v>41.61950000000094</c:v>
                </c:pt>
                <c:pt idx="726">
                  <c:v>41.619600000000943</c:v>
                </c:pt>
                <c:pt idx="727">
                  <c:v>41.619700000000947</c:v>
                </c:pt>
                <c:pt idx="728">
                  <c:v>41.61980000000095</c:v>
                </c:pt>
                <c:pt idx="729">
                  <c:v>41.619900000000953</c:v>
                </c:pt>
                <c:pt idx="730">
                  <c:v>41.620000000000957</c:v>
                </c:pt>
                <c:pt idx="731">
                  <c:v>41.62010000000096</c:v>
                </c:pt>
                <c:pt idx="732">
                  <c:v>41.620200000000963</c:v>
                </c:pt>
                <c:pt idx="733">
                  <c:v>41.620300000000967</c:v>
                </c:pt>
                <c:pt idx="734">
                  <c:v>41.62040000000097</c:v>
                </c:pt>
                <c:pt idx="735">
                  <c:v>41.620500000000973</c:v>
                </c:pt>
                <c:pt idx="736">
                  <c:v>41.620600000000977</c:v>
                </c:pt>
                <c:pt idx="737">
                  <c:v>41.62070000000098</c:v>
                </c:pt>
                <c:pt idx="738">
                  <c:v>41.620800000000983</c:v>
                </c:pt>
                <c:pt idx="739">
                  <c:v>41.620900000000987</c:v>
                </c:pt>
                <c:pt idx="740">
                  <c:v>41.62100000000099</c:v>
                </c:pt>
                <c:pt idx="741">
                  <c:v>41.621100000000993</c:v>
                </c:pt>
                <c:pt idx="742">
                  <c:v>41.621200000000997</c:v>
                </c:pt>
                <c:pt idx="743">
                  <c:v>41.621300000001</c:v>
                </c:pt>
                <c:pt idx="744">
                  <c:v>41.621400000001003</c:v>
                </c:pt>
                <c:pt idx="745">
                  <c:v>41.621500000001006</c:v>
                </c:pt>
                <c:pt idx="746">
                  <c:v>41.62160000000101</c:v>
                </c:pt>
                <c:pt idx="747">
                  <c:v>41.621700000001013</c:v>
                </c:pt>
                <c:pt idx="748">
                  <c:v>41.621800000001016</c:v>
                </c:pt>
                <c:pt idx="749">
                  <c:v>41.62190000000102</c:v>
                </c:pt>
                <c:pt idx="750">
                  <c:v>41.622000000001023</c:v>
                </c:pt>
                <c:pt idx="751">
                  <c:v>41.622100000001026</c:v>
                </c:pt>
                <c:pt idx="752">
                  <c:v>41.62220000000103</c:v>
                </c:pt>
                <c:pt idx="753">
                  <c:v>41.622300000001033</c:v>
                </c:pt>
                <c:pt idx="754">
                  <c:v>41.622400000001036</c:v>
                </c:pt>
                <c:pt idx="755">
                  <c:v>41.62250000000104</c:v>
                </c:pt>
                <c:pt idx="756">
                  <c:v>41.622600000001043</c:v>
                </c:pt>
                <c:pt idx="757">
                  <c:v>41.622700000001046</c:v>
                </c:pt>
                <c:pt idx="758">
                  <c:v>41.62280000000105</c:v>
                </c:pt>
                <c:pt idx="759">
                  <c:v>41.622900000001053</c:v>
                </c:pt>
                <c:pt idx="760">
                  <c:v>41.623000000001056</c:v>
                </c:pt>
                <c:pt idx="761">
                  <c:v>41.62310000000106</c:v>
                </c:pt>
                <c:pt idx="762">
                  <c:v>41.623200000001063</c:v>
                </c:pt>
                <c:pt idx="763">
                  <c:v>41.623300000001066</c:v>
                </c:pt>
                <c:pt idx="764">
                  <c:v>41.62340000000107</c:v>
                </c:pt>
                <c:pt idx="765">
                  <c:v>41.623500000001073</c:v>
                </c:pt>
                <c:pt idx="766">
                  <c:v>41.623600000001076</c:v>
                </c:pt>
                <c:pt idx="767">
                  <c:v>41.62370000000108</c:v>
                </c:pt>
                <c:pt idx="768">
                  <c:v>41.623800000001083</c:v>
                </c:pt>
                <c:pt idx="769">
                  <c:v>41.623900000001086</c:v>
                </c:pt>
                <c:pt idx="770">
                  <c:v>41.624000000001089</c:v>
                </c:pt>
                <c:pt idx="771">
                  <c:v>41.624100000001093</c:v>
                </c:pt>
                <c:pt idx="772">
                  <c:v>41.624200000001096</c:v>
                </c:pt>
                <c:pt idx="773">
                  <c:v>41.624300000001099</c:v>
                </c:pt>
                <c:pt idx="774">
                  <c:v>41.624400000001103</c:v>
                </c:pt>
                <c:pt idx="775">
                  <c:v>41.624500000001106</c:v>
                </c:pt>
                <c:pt idx="776">
                  <c:v>41.624600000001109</c:v>
                </c:pt>
                <c:pt idx="777">
                  <c:v>41.624700000001113</c:v>
                </c:pt>
                <c:pt idx="778">
                  <c:v>41.624800000001116</c:v>
                </c:pt>
                <c:pt idx="779">
                  <c:v>41.624900000001119</c:v>
                </c:pt>
                <c:pt idx="780">
                  <c:v>41.625000000001123</c:v>
                </c:pt>
                <c:pt idx="781">
                  <c:v>41.625100000001126</c:v>
                </c:pt>
                <c:pt idx="782">
                  <c:v>41.625200000001129</c:v>
                </c:pt>
                <c:pt idx="783">
                  <c:v>41.625300000001133</c:v>
                </c:pt>
                <c:pt idx="784">
                  <c:v>41.625400000001136</c:v>
                </c:pt>
                <c:pt idx="785">
                  <c:v>41.625500000001139</c:v>
                </c:pt>
                <c:pt idx="786">
                  <c:v>41.625600000001143</c:v>
                </c:pt>
                <c:pt idx="787">
                  <c:v>41.625700000001146</c:v>
                </c:pt>
                <c:pt idx="788">
                  <c:v>41.625800000001149</c:v>
                </c:pt>
                <c:pt idx="789">
                  <c:v>41.625900000001153</c:v>
                </c:pt>
                <c:pt idx="790">
                  <c:v>41.626000000001156</c:v>
                </c:pt>
                <c:pt idx="791">
                  <c:v>41.626100000001159</c:v>
                </c:pt>
                <c:pt idx="792">
                  <c:v>41.626200000001162</c:v>
                </c:pt>
                <c:pt idx="793">
                  <c:v>41.626300000001166</c:v>
                </c:pt>
                <c:pt idx="794">
                  <c:v>41.626400000001169</c:v>
                </c:pt>
                <c:pt idx="795">
                  <c:v>41.626500000001172</c:v>
                </c:pt>
                <c:pt idx="796">
                  <c:v>41.626600000001176</c:v>
                </c:pt>
                <c:pt idx="797">
                  <c:v>41.626700000001179</c:v>
                </c:pt>
                <c:pt idx="798">
                  <c:v>41.626800000001182</c:v>
                </c:pt>
                <c:pt idx="799">
                  <c:v>41.626900000001186</c:v>
                </c:pt>
                <c:pt idx="800">
                  <c:v>41.627000000001189</c:v>
                </c:pt>
                <c:pt idx="801">
                  <c:v>41.627100000001192</c:v>
                </c:pt>
                <c:pt idx="802">
                  <c:v>41.627200000001196</c:v>
                </c:pt>
                <c:pt idx="803">
                  <c:v>41.627300000001199</c:v>
                </c:pt>
                <c:pt idx="804">
                  <c:v>41.627400000001202</c:v>
                </c:pt>
                <c:pt idx="805">
                  <c:v>41.627500000001206</c:v>
                </c:pt>
                <c:pt idx="806">
                  <c:v>41.627600000001209</c:v>
                </c:pt>
                <c:pt idx="807">
                  <c:v>41.627700000001212</c:v>
                </c:pt>
                <c:pt idx="808">
                  <c:v>41.627800000001216</c:v>
                </c:pt>
                <c:pt idx="809">
                  <c:v>41.627900000001219</c:v>
                </c:pt>
                <c:pt idx="810">
                  <c:v>41.628000000001222</c:v>
                </c:pt>
                <c:pt idx="811">
                  <c:v>41.628100000001226</c:v>
                </c:pt>
                <c:pt idx="812">
                  <c:v>41.628200000001229</c:v>
                </c:pt>
                <c:pt idx="813">
                  <c:v>41.628300000001232</c:v>
                </c:pt>
                <c:pt idx="814">
                  <c:v>41.628400000001236</c:v>
                </c:pt>
                <c:pt idx="815">
                  <c:v>41.628500000001239</c:v>
                </c:pt>
                <c:pt idx="816">
                  <c:v>41.628600000001242</c:v>
                </c:pt>
                <c:pt idx="817">
                  <c:v>41.628700000001245</c:v>
                </c:pt>
                <c:pt idx="818">
                  <c:v>41.628800000001249</c:v>
                </c:pt>
                <c:pt idx="819">
                  <c:v>41.628900000001252</c:v>
                </c:pt>
                <c:pt idx="820">
                  <c:v>41.629000000001255</c:v>
                </c:pt>
                <c:pt idx="821">
                  <c:v>41.629100000001259</c:v>
                </c:pt>
                <c:pt idx="822">
                  <c:v>41.629200000001262</c:v>
                </c:pt>
                <c:pt idx="823">
                  <c:v>41.629300000001265</c:v>
                </c:pt>
                <c:pt idx="824">
                  <c:v>41.629400000001269</c:v>
                </c:pt>
                <c:pt idx="825">
                  <c:v>41.629500000001272</c:v>
                </c:pt>
                <c:pt idx="826">
                  <c:v>41.629600000001275</c:v>
                </c:pt>
                <c:pt idx="827">
                  <c:v>41.629700000001279</c:v>
                </c:pt>
                <c:pt idx="828">
                  <c:v>41.629800000001282</c:v>
                </c:pt>
                <c:pt idx="829">
                  <c:v>41.629900000001285</c:v>
                </c:pt>
                <c:pt idx="830">
                  <c:v>41.630000000001289</c:v>
                </c:pt>
                <c:pt idx="831">
                  <c:v>41.630100000001292</c:v>
                </c:pt>
                <c:pt idx="832">
                  <c:v>41.630200000001295</c:v>
                </c:pt>
                <c:pt idx="833">
                  <c:v>41.630300000001299</c:v>
                </c:pt>
                <c:pt idx="834">
                  <c:v>41.630400000001302</c:v>
                </c:pt>
                <c:pt idx="835">
                  <c:v>41.630500000001305</c:v>
                </c:pt>
                <c:pt idx="836">
                  <c:v>41.630600000001309</c:v>
                </c:pt>
                <c:pt idx="837">
                  <c:v>41.630700000001312</c:v>
                </c:pt>
                <c:pt idx="838">
                  <c:v>41.630800000001315</c:v>
                </c:pt>
                <c:pt idx="839">
                  <c:v>41.630900000001319</c:v>
                </c:pt>
                <c:pt idx="840">
                  <c:v>41.631000000001322</c:v>
                </c:pt>
                <c:pt idx="841">
                  <c:v>41.631100000001325</c:v>
                </c:pt>
                <c:pt idx="842">
                  <c:v>41.631200000001328</c:v>
                </c:pt>
                <c:pt idx="843">
                  <c:v>41.631300000001332</c:v>
                </c:pt>
                <c:pt idx="844">
                  <c:v>41.631400000001335</c:v>
                </c:pt>
                <c:pt idx="845">
                  <c:v>41.631500000001338</c:v>
                </c:pt>
                <c:pt idx="846">
                  <c:v>41.631600000001342</c:v>
                </c:pt>
                <c:pt idx="847">
                  <c:v>41.631700000001345</c:v>
                </c:pt>
                <c:pt idx="848">
                  <c:v>41.631800000001348</c:v>
                </c:pt>
                <c:pt idx="849">
                  <c:v>41.631900000001352</c:v>
                </c:pt>
                <c:pt idx="850">
                  <c:v>41.632000000001355</c:v>
                </c:pt>
                <c:pt idx="851">
                  <c:v>41.632100000001358</c:v>
                </c:pt>
                <c:pt idx="852">
                  <c:v>41.632200000001362</c:v>
                </c:pt>
                <c:pt idx="853">
                  <c:v>41.632300000001365</c:v>
                </c:pt>
                <c:pt idx="854">
                  <c:v>41.632400000001368</c:v>
                </c:pt>
                <c:pt idx="855">
                  <c:v>41.632500000001372</c:v>
                </c:pt>
                <c:pt idx="856">
                  <c:v>41.632600000001375</c:v>
                </c:pt>
                <c:pt idx="857">
                  <c:v>41.632700000001378</c:v>
                </c:pt>
                <c:pt idx="858">
                  <c:v>41.632800000001382</c:v>
                </c:pt>
                <c:pt idx="859">
                  <c:v>41.632900000001385</c:v>
                </c:pt>
                <c:pt idx="860">
                  <c:v>41.633000000001388</c:v>
                </c:pt>
                <c:pt idx="861">
                  <c:v>41.633100000001392</c:v>
                </c:pt>
                <c:pt idx="862">
                  <c:v>41.633200000001395</c:v>
                </c:pt>
                <c:pt idx="863">
                  <c:v>41.633300000001398</c:v>
                </c:pt>
                <c:pt idx="864">
                  <c:v>41.633400000001402</c:v>
                </c:pt>
                <c:pt idx="865">
                  <c:v>41.633500000001405</c:v>
                </c:pt>
                <c:pt idx="866">
                  <c:v>41.633600000001408</c:v>
                </c:pt>
                <c:pt idx="867">
                  <c:v>41.633700000001411</c:v>
                </c:pt>
                <c:pt idx="868">
                  <c:v>41.633800000001415</c:v>
                </c:pt>
                <c:pt idx="869">
                  <c:v>41.633900000001418</c:v>
                </c:pt>
                <c:pt idx="870">
                  <c:v>41.634000000001421</c:v>
                </c:pt>
                <c:pt idx="871">
                  <c:v>41.634100000001425</c:v>
                </c:pt>
                <c:pt idx="872">
                  <c:v>41.634200000001428</c:v>
                </c:pt>
                <c:pt idx="873">
                  <c:v>41.634300000001431</c:v>
                </c:pt>
                <c:pt idx="874">
                  <c:v>41.634400000001435</c:v>
                </c:pt>
                <c:pt idx="875">
                  <c:v>41.634500000001438</c:v>
                </c:pt>
                <c:pt idx="876">
                  <c:v>41.634600000001441</c:v>
                </c:pt>
                <c:pt idx="877">
                  <c:v>41.634700000001445</c:v>
                </c:pt>
                <c:pt idx="878">
                  <c:v>41.634800000001448</c:v>
                </c:pt>
                <c:pt idx="879">
                  <c:v>41.634900000001451</c:v>
                </c:pt>
                <c:pt idx="880">
                  <c:v>41.635000000001455</c:v>
                </c:pt>
                <c:pt idx="881">
                  <c:v>41.635100000001458</c:v>
                </c:pt>
                <c:pt idx="882">
                  <c:v>41.635200000001461</c:v>
                </c:pt>
                <c:pt idx="883">
                  <c:v>41.635300000001465</c:v>
                </c:pt>
                <c:pt idx="884">
                  <c:v>41.635400000001468</c:v>
                </c:pt>
                <c:pt idx="885">
                  <c:v>41.635500000001471</c:v>
                </c:pt>
                <c:pt idx="886">
                  <c:v>41.635600000001475</c:v>
                </c:pt>
                <c:pt idx="887">
                  <c:v>41.635700000001478</c:v>
                </c:pt>
                <c:pt idx="888">
                  <c:v>41.635800000001481</c:v>
                </c:pt>
                <c:pt idx="889">
                  <c:v>41.635900000001484</c:v>
                </c:pt>
                <c:pt idx="890">
                  <c:v>41.636000000001488</c:v>
                </c:pt>
                <c:pt idx="891">
                  <c:v>41.636100000001491</c:v>
                </c:pt>
                <c:pt idx="892">
                  <c:v>41.636200000001494</c:v>
                </c:pt>
                <c:pt idx="893">
                  <c:v>41.636300000001498</c:v>
                </c:pt>
                <c:pt idx="894">
                  <c:v>41.636400000001501</c:v>
                </c:pt>
                <c:pt idx="895">
                  <c:v>41.636500000001504</c:v>
                </c:pt>
                <c:pt idx="896">
                  <c:v>41.636600000001508</c:v>
                </c:pt>
                <c:pt idx="897">
                  <c:v>41.636700000001511</c:v>
                </c:pt>
                <c:pt idx="898">
                  <c:v>41.636800000001514</c:v>
                </c:pt>
                <c:pt idx="899">
                  <c:v>41.636900000001518</c:v>
                </c:pt>
                <c:pt idx="900">
                  <c:v>41.637000000001521</c:v>
                </c:pt>
                <c:pt idx="901">
                  <c:v>41.637100000001524</c:v>
                </c:pt>
                <c:pt idx="902">
                  <c:v>41.637200000001528</c:v>
                </c:pt>
                <c:pt idx="903">
                  <c:v>41.637300000001531</c:v>
                </c:pt>
                <c:pt idx="904">
                  <c:v>41.637400000001534</c:v>
                </c:pt>
                <c:pt idx="905">
                  <c:v>41.637500000001538</c:v>
                </c:pt>
                <c:pt idx="906">
                  <c:v>41.637600000001541</c:v>
                </c:pt>
                <c:pt idx="907">
                  <c:v>41.637700000001544</c:v>
                </c:pt>
                <c:pt idx="908">
                  <c:v>41.637800000001548</c:v>
                </c:pt>
                <c:pt idx="909">
                  <c:v>41.637900000001551</c:v>
                </c:pt>
                <c:pt idx="910">
                  <c:v>41.638000000001554</c:v>
                </c:pt>
                <c:pt idx="911">
                  <c:v>41.638100000001558</c:v>
                </c:pt>
                <c:pt idx="912">
                  <c:v>41.638200000001561</c:v>
                </c:pt>
                <c:pt idx="913">
                  <c:v>41.638300000001564</c:v>
                </c:pt>
                <c:pt idx="914">
                  <c:v>41.638400000001567</c:v>
                </c:pt>
                <c:pt idx="915">
                  <c:v>41.638500000001571</c:v>
                </c:pt>
                <c:pt idx="916">
                  <c:v>41.638600000001574</c:v>
                </c:pt>
                <c:pt idx="917">
                  <c:v>41.638700000001577</c:v>
                </c:pt>
                <c:pt idx="918">
                  <c:v>41.638800000001581</c:v>
                </c:pt>
                <c:pt idx="919">
                  <c:v>41.638900000001584</c:v>
                </c:pt>
                <c:pt idx="920">
                  <c:v>41.639000000001587</c:v>
                </c:pt>
                <c:pt idx="921">
                  <c:v>41.639100000001591</c:v>
                </c:pt>
                <c:pt idx="922">
                  <c:v>41.639200000001594</c:v>
                </c:pt>
                <c:pt idx="923">
                  <c:v>41.639300000001597</c:v>
                </c:pt>
                <c:pt idx="924">
                  <c:v>41.639400000001601</c:v>
                </c:pt>
                <c:pt idx="925">
                  <c:v>41.639500000001604</c:v>
                </c:pt>
                <c:pt idx="926">
                  <c:v>41.639600000001607</c:v>
                </c:pt>
                <c:pt idx="927">
                  <c:v>41.639700000001611</c:v>
                </c:pt>
                <c:pt idx="928">
                  <c:v>41.639800000001614</c:v>
                </c:pt>
                <c:pt idx="929">
                  <c:v>41.639900000001617</c:v>
                </c:pt>
                <c:pt idx="930">
                  <c:v>41.640000000001621</c:v>
                </c:pt>
                <c:pt idx="931">
                  <c:v>41.640100000001624</c:v>
                </c:pt>
                <c:pt idx="932">
                  <c:v>41.640200000001627</c:v>
                </c:pt>
                <c:pt idx="933">
                  <c:v>41.640300000001631</c:v>
                </c:pt>
                <c:pt idx="934">
                  <c:v>41.640400000001634</c:v>
                </c:pt>
                <c:pt idx="935">
                  <c:v>41.640500000001637</c:v>
                </c:pt>
                <c:pt idx="936">
                  <c:v>41.640600000001641</c:v>
                </c:pt>
                <c:pt idx="937">
                  <c:v>41.640700000001644</c:v>
                </c:pt>
                <c:pt idx="938">
                  <c:v>41.640800000001647</c:v>
                </c:pt>
                <c:pt idx="939">
                  <c:v>41.64090000000165</c:v>
                </c:pt>
                <c:pt idx="940">
                  <c:v>41.641000000001654</c:v>
                </c:pt>
                <c:pt idx="941">
                  <c:v>41.641100000001657</c:v>
                </c:pt>
                <c:pt idx="942">
                  <c:v>41.64120000000166</c:v>
                </c:pt>
                <c:pt idx="943">
                  <c:v>41.641300000001664</c:v>
                </c:pt>
                <c:pt idx="944">
                  <c:v>41.641400000001667</c:v>
                </c:pt>
                <c:pt idx="945">
                  <c:v>41.64150000000167</c:v>
                </c:pt>
                <c:pt idx="946">
                  <c:v>41.641600000001674</c:v>
                </c:pt>
                <c:pt idx="947">
                  <c:v>41.641700000001677</c:v>
                </c:pt>
                <c:pt idx="948">
                  <c:v>41.64180000000168</c:v>
                </c:pt>
                <c:pt idx="949">
                  <c:v>41.641900000001684</c:v>
                </c:pt>
                <c:pt idx="950">
                  <c:v>41.642000000001687</c:v>
                </c:pt>
                <c:pt idx="951">
                  <c:v>41.64210000000169</c:v>
                </c:pt>
                <c:pt idx="952">
                  <c:v>41.642200000001694</c:v>
                </c:pt>
                <c:pt idx="953">
                  <c:v>41.642300000001697</c:v>
                </c:pt>
                <c:pt idx="954">
                  <c:v>41.6424000000017</c:v>
                </c:pt>
                <c:pt idx="955">
                  <c:v>41.642500000001704</c:v>
                </c:pt>
                <c:pt idx="956">
                  <c:v>41.642600000001707</c:v>
                </c:pt>
                <c:pt idx="957">
                  <c:v>41.64270000000171</c:v>
                </c:pt>
                <c:pt idx="958">
                  <c:v>41.642800000001714</c:v>
                </c:pt>
                <c:pt idx="959">
                  <c:v>41.642900000001717</c:v>
                </c:pt>
                <c:pt idx="960">
                  <c:v>41.64300000000172</c:v>
                </c:pt>
                <c:pt idx="961">
                  <c:v>41.643100000001724</c:v>
                </c:pt>
                <c:pt idx="962">
                  <c:v>41.643200000001727</c:v>
                </c:pt>
                <c:pt idx="963">
                  <c:v>41.64330000000173</c:v>
                </c:pt>
                <c:pt idx="964">
                  <c:v>41.643400000001733</c:v>
                </c:pt>
                <c:pt idx="965">
                  <c:v>41.643500000001737</c:v>
                </c:pt>
                <c:pt idx="966">
                  <c:v>41.64360000000174</c:v>
                </c:pt>
                <c:pt idx="967">
                  <c:v>41.643700000001743</c:v>
                </c:pt>
                <c:pt idx="968">
                  <c:v>41.643800000001747</c:v>
                </c:pt>
                <c:pt idx="969">
                  <c:v>41.64390000000175</c:v>
                </c:pt>
                <c:pt idx="970">
                  <c:v>41.644000000001753</c:v>
                </c:pt>
                <c:pt idx="971">
                  <c:v>41.644100000001757</c:v>
                </c:pt>
                <c:pt idx="972">
                  <c:v>41.64420000000176</c:v>
                </c:pt>
                <c:pt idx="973">
                  <c:v>41.644300000001763</c:v>
                </c:pt>
                <c:pt idx="974">
                  <c:v>41.644400000001767</c:v>
                </c:pt>
                <c:pt idx="975">
                  <c:v>41.64450000000177</c:v>
                </c:pt>
                <c:pt idx="976">
                  <c:v>41.644600000001773</c:v>
                </c:pt>
                <c:pt idx="977">
                  <c:v>41.644700000001777</c:v>
                </c:pt>
                <c:pt idx="978">
                  <c:v>41.64480000000178</c:v>
                </c:pt>
                <c:pt idx="979">
                  <c:v>41.644900000001783</c:v>
                </c:pt>
                <c:pt idx="980">
                  <c:v>41.645000000001787</c:v>
                </c:pt>
                <c:pt idx="981">
                  <c:v>41.64510000000179</c:v>
                </c:pt>
                <c:pt idx="982">
                  <c:v>41.645200000001793</c:v>
                </c:pt>
                <c:pt idx="983">
                  <c:v>41.645300000001797</c:v>
                </c:pt>
                <c:pt idx="984">
                  <c:v>41.6454000000018</c:v>
                </c:pt>
                <c:pt idx="985">
                  <c:v>41.645500000001803</c:v>
                </c:pt>
                <c:pt idx="986">
                  <c:v>41.645600000001807</c:v>
                </c:pt>
                <c:pt idx="987">
                  <c:v>41.64570000000181</c:v>
                </c:pt>
                <c:pt idx="988">
                  <c:v>41.645800000001813</c:v>
                </c:pt>
                <c:pt idx="989">
                  <c:v>41.645900000001816</c:v>
                </c:pt>
                <c:pt idx="990">
                  <c:v>41.64600000000182</c:v>
                </c:pt>
                <c:pt idx="991">
                  <c:v>41.646100000001823</c:v>
                </c:pt>
                <c:pt idx="992">
                  <c:v>41.646200000001826</c:v>
                </c:pt>
                <c:pt idx="993">
                  <c:v>41.64630000000183</c:v>
                </c:pt>
                <c:pt idx="994">
                  <c:v>41.646400000001833</c:v>
                </c:pt>
                <c:pt idx="995">
                  <c:v>41.646500000001836</c:v>
                </c:pt>
                <c:pt idx="996">
                  <c:v>41.64660000000184</c:v>
                </c:pt>
                <c:pt idx="997">
                  <c:v>41.646700000001843</c:v>
                </c:pt>
                <c:pt idx="998">
                  <c:v>41.646800000001846</c:v>
                </c:pt>
                <c:pt idx="999">
                  <c:v>41.64690000000185</c:v>
                </c:pt>
                <c:pt idx="1000">
                  <c:v>41.647000000001853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930.5</c:v>
                </c:pt>
                <c:pt idx="1">
                  <c:v>931.80355502799046</c:v>
                </c:pt>
                <c:pt idx="2">
                  <c:v>933.10841905698135</c:v>
                </c:pt>
                <c:pt idx="3">
                  <c:v>934.41669686016553</c:v>
                </c:pt>
                <c:pt idx="4">
                  <c:v>935.72877166631963</c:v>
                </c:pt>
                <c:pt idx="5">
                  <c:v>937.04427963989951</c:v>
                </c:pt>
                <c:pt idx="6">
                  <c:v>938.36308429607277</c:v>
                </c:pt>
                <c:pt idx="7">
                  <c:v>939.68516282474184</c:v>
                </c:pt>
                <c:pt idx="8">
                  <c:v>941.01049241627561</c:v>
                </c:pt>
                <c:pt idx="9">
                  <c:v>942.33905026175614</c:v>
                </c:pt>
                <c:pt idx="10">
                  <c:v>943.67081355322352</c:v>
                </c:pt>
                <c:pt idx="11">
                  <c:v>945.00575948391963</c:v>
                </c:pt>
                <c:pt idx="12">
                  <c:v>946.34386524853073</c:v>
                </c:pt>
                <c:pt idx="13">
                  <c:v>947.6851080434285</c:v>
                </c:pt>
                <c:pt idx="14">
                  <c:v>949.02946506690978</c:v>
                </c:pt>
                <c:pt idx="15">
                  <c:v>950.37691351943477</c:v>
                </c:pt>
                <c:pt idx="16">
                  <c:v>951.72743060386404</c:v>
                </c:pt>
                <c:pt idx="17">
                  <c:v>953.08099352569411</c:v>
                </c:pt>
                <c:pt idx="18">
                  <c:v>954.43757949329176</c:v>
                </c:pt>
                <c:pt idx="19">
                  <c:v>955.79716571812651</c:v>
                </c:pt>
                <c:pt idx="20">
                  <c:v>957.15972941500218</c:v>
                </c:pt>
                <c:pt idx="21">
                  <c:v>958.52524780228691</c:v>
                </c:pt>
                <c:pt idx="22">
                  <c:v>959.89369810214157</c:v>
                </c:pt>
                <c:pt idx="23">
                  <c:v>961.26505754074697</c:v>
                </c:pt>
                <c:pt idx="24">
                  <c:v>962.63930334852978</c:v>
                </c:pt>
                <c:pt idx="25">
                  <c:v>964.01641276038652</c:v>
                </c:pt>
                <c:pt idx="26">
                  <c:v>965.39636301590656</c:v>
                </c:pt>
                <c:pt idx="27">
                  <c:v>966.77913135959375</c:v>
                </c:pt>
                <c:pt idx="28">
                  <c:v>968.16469504108613</c:v>
                </c:pt>
                <c:pt idx="29">
                  <c:v>969.55303131537482</c:v>
                </c:pt>
                <c:pt idx="30">
                  <c:v>970.9441174430209</c:v>
                </c:pt>
                <c:pt idx="31">
                  <c:v>972.33793069037131</c:v>
                </c:pt>
                <c:pt idx="32">
                  <c:v>973.73444832977282</c:v>
                </c:pt>
                <c:pt idx="33">
                  <c:v>975.13364763978518</c:v>
                </c:pt>
                <c:pt idx="34">
                  <c:v>976.53550590539226</c:v>
                </c:pt>
                <c:pt idx="35">
                  <c:v>977.94000041821198</c:v>
                </c:pt>
                <c:pt idx="36">
                  <c:v>979.34710847670453</c:v>
                </c:pt>
                <c:pt idx="37">
                  <c:v>980.75680738637971</c:v>
                </c:pt>
                <c:pt idx="38">
                  <c:v>982.16907446000209</c:v>
                </c:pt>
                <c:pt idx="39">
                  <c:v>983.58388701779518</c:v>
                </c:pt>
                <c:pt idx="40">
                  <c:v>985.00122238764402</c:v>
                </c:pt>
                <c:pt idx="41">
                  <c:v>986.42105790529627</c:v>
                </c:pt>
                <c:pt idx="42">
                  <c:v>987.84337091456155</c:v>
                </c:pt>
                <c:pt idx="43">
                  <c:v>989.26813876750998</c:v>
                </c:pt>
                <c:pt idx="44">
                  <c:v>990.69533882466862</c:v>
                </c:pt>
                <c:pt idx="45">
                  <c:v>992.12494845521655</c:v>
                </c:pt>
                <c:pt idx="46">
                  <c:v>993.55694503717882</c:v>
                </c:pt>
                <c:pt idx="47">
                  <c:v>994.99130595761835</c:v>
                </c:pt>
                <c:pt idx="48">
                  <c:v>996.42800861282694</c:v>
                </c:pt>
                <c:pt idx="49">
                  <c:v>997.86703040851432</c:v>
                </c:pt>
                <c:pt idx="50">
                  <c:v>999.30834875999608</c:v>
                </c:pt>
                <c:pt idx="51">
                  <c:v>1000.7519410923796</c:v>
                </c:pt>
                <c:pt idx="52">
                  <c:v>1002.1977848407493</c:v>
                </c:pt>
                <c:pt idx="53">
                  <c:v>1003.6458574503492</c:v>
                </c:pt>
                <c:pt idx="54">
                  <c:v>1005.0961363767657</c:v>
                </c:pt>
                <c:pt idx="55">
                  <c:v>1006.5485990861071</c:v>
                </c:pt>
                <c:pt idx="56">
                  <c:v>1008.0032230551825</c:v>
                </c:pt>
                <c:pt idx="57">
                  <c:v>1009.4599857716795</c:v>
                </c:pt>
                <c:pt idx="58">
                  <c:v>1010.9188647343396</c:v>
                </c:pt>
                <c:pt idx="59">
                  <c:v>1012.379837453133</c:v>
                </c:pt>
                <c:pt idx="60">
                  <c:v>1013.8428814494306</c:v>
                </c:pt>
                <c:pt idx="61">
                  <c:v>1015.3079742561764</c:v>
                </c:pt>
                <c:pt idx="62">
                  <c:v>1016.7750934180565</c:v>
                </c:pt>
                <c:pt idx="63">
                  <c:v>1018.2442066457415</c:v>
                </c:pt>
                <c:pt idx="64">
                  <c:v>1019.7152619747797</c:v>
                </c:pt>
                <c:pt idx="65">
                  <c:v>1021.1881976248302</c:v>
                </c:pt>
                <c:pt idx="66">
                  <c:v>1022.6629518545753</c:v>
                </c:pt>
                <c:pt idx="67">
                  <c:v>1024.1394539394594</c:v>
                </c:pt>
                <c:pt idx="68">
                  <c:v>1025.6176151543682</c:v>
                </c:pt>
                <c:pt idx="69">
                  <c:v>1027.0973217646585</c:v>
                </c:pt>
                <c:pt idx="70">
                  <c:v>1028.5784280226339</c:v>
                </c:pt>
                <c:pt idx="71">
                  <c:v>1030.0607722410148</c:v>
                </c:pt>
                <c:pt idx="72">
                  <c:v>1031.5441928578741</c:v>
                </c:pt>
                <c:pt idx="73">
                  <c:v>1033.02852844113</c:v>
                </c:pt>
                <c:pt idx="74">
                  <c:v>1034.5136176929648</c:v>
                </c:pt>
                <c:pt idx="75">
                  <c:v>1035.9992994541751</c:v>
                </c:pt>
                <c:pt idx="76">
                  <c:v>1037.4854127084488</c:v>
                </c:pt>
                <c:pt idx="77">
                  <c:v>1038.97179658657</c:v>
                </c:pt>
                <c:pt idx="78">
                  <c:v>1040.4582903705525</c:v>
                </c:pt>
                <c:pt idx="79">
                  <c:v>1041.9447334977017</c:v>
                </c:pt>
                <c:pt idx="80">
                  <c:v>1043.4309655646043</c:v>
                </c:pt>
                <c:pt idx="81">
                  <c:v>1044.9168454076296</c:v>
                </c:pt>
                <c:pt idx="82">
                  <c:v>1046.4022701636459</c:v>
                </c:pt>
                <c:pt idx="83">
                  <c:v>1047.8871561550282</c:v>
                </c:pt>
                <c:pt idx="84">
                  <c:v>1049.3714197929298</c:v>
                </c:pt>
                <c:pt idx="85">
                  <c:v>1050.8549775781873</c:v>
                </c:pt>
                <c:pt idx="86">
                  <c:v>1052.3377461022051</c:v>
                </c:pt>
                <c:pt idx="87">
                  <c:v>1053.8196420478205</c:v>
                </c:pt>
                <c:pt idx="88">
                  <c:v>1055.3005821901506</c:v>
                </c:pt>
                <c:pt idx="89">
                  <c:v>1056.7804894232311</c:v>
                </c:pt>
                <c:pt idx="90">
                  <c:v>1058.2592987797127</c:v>
                </c:pt>
                <c:pt idx="91">
                  <c:v>1059.7369513916406</c:v>
                </c:pt>
                <c:pt idx="92">
                  <c:v>1061.2133884579157</c:v>
                </c:pt>
                <c:pt idx="93">
                  <c:v>1062.6885527511295</c:v>
                </c:pt>
                <c:pt idx="94">
                  <c:v>1064.1623901225969</c:v>
                </c:pt>
                <c:pt idx="95">
                  <c:v>1065.6348479925036</c:v>
                </c:pt>
                <c:pt idx="96">
                  <c:v>1067.1058738417967</c:v>
                </c:pt>
                <c:pt idx="97">
                  <c:v>1068.5754212384566</c:v>
                </c:pt>
                <c:pt idx="98">
                  <c:v>1070.0434558563868</c:v>
                </c:pt>
                <c:pt idx="99">
                  <c:v>1071.5099494347721</c:v>
                </c:pt>
                <c:pt idx="100">
                  <c:v>1072.9748737447114</c:v>
                </c:pt>
                <c:pt idx="101">
                  <c:v>1074.4382005892064</c:v>
                </c:pt>
                <c:pt idx="102">
                  <c:v>1075.8999018031473</c:v>
                </c:pt>
                <c:pt idx="103">
                  <c:v>1077.3599492532962</c:v>
                </c:pt>
                <c:pt idx="104">
                  <c:v>1078.8183148382707</c:v>
                </c:pt>
                <c:pt idx="105">
                  <c:v>1080.2749704885232</c:v>
                </c:pt>
                <c:pt idx="106">
                  <c:v>1081.7298881663203</c:v>
                </c:pt>
                <c:pt idx="107">
                  <c:v>1083.1830398657189</c:v>
                </c:pt>
                <c:pt idx="108">
                  <c:v>1084.6343976125422</c:v>
                </c:pt>
                <c:pt idx="109">
                  <c:v>1086.0839409956841</c:v>
                </c:pt>
                <c:pt idx="110">
                  <c:v>1087.5316646888368</c:v>
                </c:pt>
                <c:pt idx="111">
                  <c:v>1088.9775709003304</c:v>
                </c:pt>
                <c:pt idx="112">
                  <c:v>1090.4216618325711</c:v>
                </c:pt>
                <c:pt idx="113">
                  <c:v>1091.863939682062</c:v>
                </c:pt>
                <c:pt idx="114">
                  <c:v>1093.304406639423</c:v>
                </c:pt>
                <c:pt idx="115">
                  <c:v>1094.7430648894106</c:v>
                </c:pt>
                <c:pt idx="116">
                  <c:v>1096.1799166109377</c:v>
                </c:pt>
                <c:pt idx="117">
                  <c:v>1097.6149639770931</c:v>
                </c:pt>
                <c:pt idx="118">
                  <c:v>1099.0482091551617</c:v>
                </c:pt>
                <c:pt idx="119">
                  <c:v>1100.4796543066429</c:v>
                </c:pt>
                <c:pt idx="120">
                  <c:v>1101.909301587272</c:v>
                </c:pt>
                <c:pt idx="121">
                  <c:v>1103.3371531470373</c:v>
                </c:pt>
                <c:pt idx="122">
                  <c:v>1104.7632111302009</c:v>
                </c:pt>
                <c:pt idx="123">
                  <c:v>1106.187477675318</c:v>
                </c:pt>
                <c:pt idx="124">
                  <c:v>1107.6099549152543</c:v>
                </c:pt>
                <c:pt idx="125">
                  <c:v>1109.0306449772074</c:v>
                </c:pt>
                <c:pt idx="126">
                  <c:v>1110.449549982724</c:v>
                </c:pt>
                <c:pt idx="127">
                  <c:v>1111.8666720477192</c:v>
                </c:pt>
                <c:pt idx="128">
                  <c:v>1113.2820132824961</c:v>
                </c:pt>
                <c:pt idx="129">
                  <c:v>1114.6955757917635</c:v>
                </c:pt>
                <c:pt idx="130">
                  <c:v>1116.1073616746548</c:v>
                </c:pt>
                <c:pt idx="131">
                  <c:v>1117.5173730247468</c:v>
                </c:pt>
                <c:pt idx="132">
                  <c:v>1118.925611930078</c:v>
                </c:pt>
                <c:pt idx="133">
                  <c:v>1120.3320804731673</c:v>
                </c:pt>
                <c:pt idx="134">
                  <c:v>1121.7367807310313</c:v>
                </c:pt>
                <c:pt idx="135">
                  <c:v>1123.1397147752041</c:v>
                </c:pt>
                <c:pt idx="136">
                  <c:v>1124.5408846717539</c:v>
                </c:pt>
                <c:pt idx="137">
                  <c:v>1125.9402924813025</c:v>
                </c:pt>
                <c:pt idx="138">
                  <c:v>1127.3379402590424</c:v>
                </c:pt>
                <c:pt idx="139">
                  <c:v>1128.7338300547547</c:v>
                </c:pt>
                <c:pt idx="140">
                  <c:v>1130.1279639128272</c:v>
                </c:pt>
                <c:pt idx="141">
                  <c:v>1131.5203438722724</c:v>
                </c:pt>
                <c:pt idx="142">
                  <c:v>1132.9109719667449</c:v>
                </c:pt>
                <c:pt idx="143">
                  <c:v>1134.2998502245589</c:v>
                </c:pt>
                <c:pt idx="144">
                  <c:v>1135.6869806687064</c:v>
                </c:pt>
                <c:pt idx="145">
                  <c:v>1137.0723653168736</c:v>
                </c:pt>
                <c:pt idx="146">
                  <c:v>1138.4560061814595</c:v>
                </c:pt>
                <c:pt idx="147">
                  <c:v>1139.8379052695923</c:v>
                </c:pt>
                <c:pt idx="148">
                  <c:v>1141.2180645831468</c:v>
                </c:pt>
                <c:pt idx="149">
                  <c:v>1142.5964861187622</c:v>
                </c:pt>
                <c:pt idx="150">
                  <c:v>1143.9731718678586</c:v>
                </c:pt>
                <c:pt idx="151">
                  <c:v>1145.3481238166544</c:v>
                </c:pt>
                <c:pt idx="152">
                  <c:v>1146.7213439461827</c:v>
                </c:pt>
                <c:pt idx="153">
                  <c:v>1148.0928342323089</c:v>
                </c:pt>
                <c:pt idx="154">
                  <c:v>1149.462596645747</c:v>
                </c:pt>
                <c:pt idx="155">
                  <c:v>1150.8306331520766</c:v>
                </c:pt>
                <c:pt idx="156">
                  <c:v>1152.1969457117598</c:v>
                </c:pt>
                <c:pt idx="157">
                  <c:v>1153.561536280157</c:v>
                </c:pt>
                <c:pt idx="158">
                  <c:v>1154.9244068075445</c:v>
                </c:pt>
                <c:pt idx="159">
                  <c:v>1156.28555923913</c:v>
                </c:pt>
                <c:pt idx="160">
                  <c:v>1157.6449955150697</c:v>
                </c:pt>
                <c:pt idx="161">
                  <c:v>1159.0027175704843</c:v>
                </c:pt>
                <c:pt idx="162">
                  <c:v>1160.3587273354754</c:v>
                </c:pt>
                <c:pt idx="163">
                  <c:v>1161.7130267351417</c:v>
                </c:pt>
                <c:pt idx="164">
                  <c:v>1163.065617689595</c:v>
                </c:pt>
                <c:pt idx="165">
                  <c:v>1164.4165021139763</c:v>
                </c:pt>
                <c:pt idx="166">
                  <c:v>1165.765681918472</c:v>
                </c:pt>
                <c:pt idx="167">
                  <c:v>1167.1131590083291</c:v>
                </c:pt>
                <c:pt idx="168">
                  <c:v>1168.4589352838725</c:v>
                </c:pt>
                <c:pt idx="169">
                  <c:v>1169.8030126405192</c:v>
                </c:pt>
                <c:pt idx="170">
                  <c:v>1171.1453929687952</c:v>
                </c:pt>
                <c:pt idx="171">
                  <c:v>1172.4860781543505</c:v>
                </c:pt>
                <c:pt idx="172">
                  <c:v>1173.8250700779747</c:v>
                </c:pt>
                <c:pt idx="173">
                  <c:v>1175.1623706156133</c:v>
                </c:pt>
                <c:pt idx="174">
                  <c:v>1176.497981638382</c:v>
                </c:pt>
                <c:pt idx="175">
                  <c:v>1177.8319050125833</c:v>
                </c:pt>
                <c:pt idx="176">
                  <c:v>1179.1641425997207</c:v>
                </c:pt>
                <c:pt idx="177">
                  <c:v>1180.494696256515</c:v>
                </c:pt>
                <c:pt idx="178">
                  <c:v>1181.8235678349188</c:v>
                </c:pt>
                <c:pt idx="179">
                  <c:v>1183.1507591821321</c:v>
                </c:pt>
                <c:pt idx="180">
                  <c:v>1184.4762721406173</c:v>
                </c:pt>
                <c:pt idx="181">
                  <c:v>1185.8001085481137</c:v>
                </c:pt>
                <c:pt idx="182">
                  <c:v>1187.1222702376533</c:v>
                </c:pt>
                <c:pt idx="183">
                  <c:v>1188.4427590375753</c:v>
                </c:pt>
                <c:pt idx="184">
                  <c:v>1189.7615767715408</c:v>
                </c:pt>
                <c:pt idx="185">
                  <c:v>1191.0787252585478</c:v>
                </c:pt>
                <c:pt idx="186">
                  <c:v>1192.3942063129459</c:v>
                </c:pt>
                <c:pt idx="187">
                  <c:v>1193.7080217444509</c:v>
                </c:pt>
                <c:pt idx="188">
                  <c:v>1195.0201733581596</c:v>
                </c:pt>
                <c:pt idx="189">
                  <c:v>1196.3306629545639</c:v>
                </c:pt>
                <c:pt idx="190">
                  <c:v>1197.6394923295654</c:v>
                </c:pt>
                <c:pt idx="191">
                  <c:v>1198.9466632744907</c:v>
                </c:pt>
                <c:pt idx="192">
                  <c:v>1200.2521775761045</c:v>
                </c:pt>
                <c:pt idx="193">
                  <c:v>1201.5560370166245</c:v>
                </c:pt>
                <c:pt idx="194">
                  <c:v>1202.8582433737356</c:v>
                </c:pt>
                <c:pt idx="195">
                  <c:v>1204.1587984206044</c:v>
                </c:pt>
                <c:pt idx="196">
                  <c:v>1205.4577039258925</c:v>
                </c:pt>
                <c:pt idx="197">
                  <c:v>1206.7549616537717</c:v>
                </c:pt>
                <c:pt idx="198">
                  <c:v>1208.050573363937</c:v>
                </c:pt>
                <c:pt idx="199">
                  <c:v>1209.3445408116211</c:v>
                </c:pt>
                <c:pt idx="200">
                  <c:v>1210.6368657476082</c:v>
                </c:pt>
                <c:pt idx="201">
                  <c:v>1223.4699122564234</c:v>
                </c:pt>
                <c:pt idx="202">
                  <c:v>1236.1398333705954</c:v>
                </c:pt>
                <c:pt idx="203">
                  <c:v>1248.648335313537</c:v>
                </c:pt>
                <c:pt idx="204">
                  <c:v>1260.9970816820528</c:v>
                </c:pt>
                <c:pt idx="205">
                  <c:v>1273.1876947399282</c:v>
                </c:pt>
                <c:pt idx="206">
                  <c:v>1285.2217566605873</c:v>
                </c:pt>
                <c:pt idx="207">
                  <c:v>1297.1008107211892</c:v>
                </c:pt>
                <c:pt idx="208">
                  <c:v>1308.8263624504084</c:v>
                </c:pt>
                <c:pt idx="209">
                  <c:v>1320.399880732017</c:v>
                </c:pt>
                <c:pt idx="210">
                  <c:v>1331.8227988662777</c:v>
                </c:pt>
                <c:pt idx="211">
                  <c:v>1343.0965155910494</c:v>
                </c:pt>
                <c:pt idx="212">
                  <c:v>1354.2223960644048</c:v>
                </c:pt>
                <c:pt idx="213">
                  <c:v>1365.201772810469</c:v>
                </c:pt>
                <c:pt idx="214">
                  <c:v>1376.0359466300933</c:v>
                </c:pt>
                <c:pt idx="215">
                  <c:v>1386.7261874779035</c:v>
                </c:pt>
                <c:pt idx="216">
                  <c:v>1397.2737353071745</c:v>
                </c:pt>
                <c:pt idx="217">
                  <c:v>1407.6798008839178</c:v>
                </c:pt>
                <c:pt idx="218">
                  <c:v>1417.94556657149</c:v>
                </c:pt>
                <c:pt idx="219">
                  <c:v>1428.0721870869727</c:v>
                </c:pt>
                <c:pt idx="220">
                  <c:v>1438.0607902305071</c:v>
                </c:pt>
                <c:pt idx="221">
                  <c:v>1447.9124775887105</c:v>
                </c:pt>
                <c:pt idx="222">
                  <c:v>1457.6283252132444</c:v>
                </c:pt>
                <c:pt idx="223">
                  <c:v>1467.209384275556</c:v>
                </c:pt>
                <c:pt idx="224">
                  <c:v>1476.6566816987615</c:v>
                </c:pt>
                <c:pt idx="225">
                  <c:v>1485.9712207675936</c:v>
                </c:pt>
                <c:pt idx="226">
                  <c:v>1495.1539817172957</c:v>
                </c:pt>
                <c:pt idx="227">
                  <c:v>1504.2059223022968</c:v>
                </c:pt>
                <c:pt idx="228">
                  <c:v>1513.1279783454704</c:v>
                </c:pt>
                <c:pt idx="229">
                  <c:v>1521.9210642687322</c:v>
                </c:pt>
                <c:pt idx="230">
                  <c:v>1530.5860736057093</c:v>
                </c:pt>
                <c:pt idx="231">
                  <c:v>1539.1238794971691</c:v>
                </c:pt>
                <c:pt idx="232">
                  <c:v>1547.5353351698691</c:v>
                </c:pt>
                <c:pt idx="233">
                  <c:v>1555.8212743994604</c:v>
                </c:pt>
                <c:pt idx="234">
                  <c:v>1563.9825119580457</c:v>
                </c:pt>
                <c:pt idx="235">
                  <c:v>1572.0198440469676</c:v>
                </c:pt>
                <c:pt idx="236">
                  <c:v>1579.9340487153765</c:v>
                </c:pt>
                <c:pt idx="237">
                  <c:v>1587.7258862651051</c:v>
                </c:pt>
                <c:pt idx="238">
                  <c:v>1595.3960996423502</c:v>
                </c:pt>
                <c:pt idx="239">
                  <c:v>1602.9454148166433</c:v>
                </c:pt>
                <c:pt idx="240">
                  <c:v>1610.3745411475695</c:v>
                </c:pt>
                <c:pt idx="241">
                  <c:v>1617.6841717396758</c:v>
                </c:pt>
                <c:pt idx="242">
                  <c:v>1624.874983785988</c:v>
                </c:pt>
                <c:pt idx="243">
                  <c:v>1631.9476389005422</c:v>
                </c:pt>
                <c:pt idx="244">
                  <c:v>1638.9027834403157</c:v>
                </c:pt>
                <c:pt idx="245">
                  <c:v>1645.7410488169296</c:v>
                </c:pt>
                <c:pt idx="246">
                  <c:v>1652.463051798477</c:v>
                </c:pt>
                <c:pt idx="247">
                  <c:v>1659.0693948018193</c:v>
                </c:pt>
                <c:pt idx="248">
                  <c:v>1665.5606661756765</c:v>
                </c:pt>
                <c:pt idx="249">
                  <c:v>1671.9374404748276</c:v>
                </c:pt>
                <c:pt idx="250">
                  <c:v>1678.2002787257209</c:v>
                </c:pt>
                <c:pt idx="251">
                  <c:v>1684.3497286837869</c:v>
                </c:pt>
                <c:pt idx="252">
                  <c:v>1690.3863250827319</c:v>
                </c:pt>
                <c:pt idx="253">
                  <c:v>1696.3105898760814</c:v>
                </c:pt>
                <c:pt idx="254">
                  <c:v>1702.123032471233</c:v>
                </c:pt>
                <c:pt idx="255">
                  <c:v>1707.8241499562689</c:v>
                </c:pt>
                <c:pt idx="256">
                  <c:v>1713.4144273197689</c:v>
                </c:pt>
                <c:pt idx="257">
                  <c:v>1718.8943376638581</c:v>
                </c:pt>
                <c:pt idx="258">
                  <c:v>1724.2643424107139</c:v>
                </c:pt>
                <c:pt idx="259">
                  <c:v>1729.5248915027541</c:v>
                </c:pt>
                <c:pt idx="260">
                  <c:v>1734.6764235967157</c:v>
                </c:pt>
                <c:pt idx="261">
                  <c:v>1739.719366251833</c:v>
                </c:pt>
                <c:pt idx="262">
                  <c:v>1744.6541361123182</c:v>
                </c:pt>
                <c:pt idx="263">
                  <c:v>1749.4811390843397</c:v>
                </c:pt>
                <c:pt idx="264">
                  <c:v>1754.200770507694</c:v>
                </c:pt>
                <c:pt idx="265">
                  <c:v>1758.81341532236</c:v>
                </c:pt>
                <c:pt idx="266">
                  <c:v>1763.3194482301262</c:v>
                </c:pt>
                <c:pt idx="267">
                  <c:v>1767.7192338514762</c:v>
                </c:pt>
                <c:pt idx="268">
                  <c:v>1772.0131268779203</c:v>
                </c:pt>
                <c:pt idx="269">
                  <c:v>1776.2014722199579</c:v>
                </c:pt>
                <c:pt idx="270">
                  <c:v>1780.2846051508623</c:v>
                </c:pt>
                <c:pt idx="271">
                  <c:v>1784.2628514464752</c:v>
                </c:pt>
                <c:pt idx="272">
                  <c:v>1788.1365275212104</c:v>
                </c:pt>
                <c:pt idx="273">
                  <c:v>1791.9059405604623</c:v>
                </c:pt>
                <c:pt idx="274">
                  <c:v>1795.5713886496339</c:v>
                </c:pt>
                <c:pt idx="275">
                  <c:v>1799.1331608999956</c:v>
                </c:pt>
                <c:pt idx="276">
                  <c:v>1802.5915375716093</c:v>
                </c:pt>
                <c:pt idx="277">
                  <c:v>1805.9467901935577</c:v>
                </c:pt>
                <c:pt idx="278">
                  <c:v>1809.1991816817435</c:v>
                </c:pt>
                <c:pt idx="279">
                  <c:v>1812.3489664545364</c:v>
                </c:pt>
                <c:pt idx="280">
                  <c:v>1815.3963905465775</c:v>
                </c:pt>
                <c:pt idx="281">
                  <c:v>1818.3416917210754</c:v>
                </c:pt>
                <c:pt idx="282">
                  <c:v>1821.1850995809646</c:v>
                </c:pt>
                <c:pt idx="283">
                  <c:v>1823.9268356793375</c:v>
                </c:pt>
                <c:pt idx="284">
                  <c:v>1826.5671136296075</c:v>
                </c:pt>
                <c:pt idx="285">
                  <c:v>1829.1061392159177</c:v>
                </c:pt>
                <c:pt idx="286">
                  <c:v>1831.5441105043708</c:v>
                </c:pt>
                <c:pt idx="287">
                  <c:v>1833.8812179557349</c:v>
                </c:pt>
                <c:pt idx="288">
                  <c:v>1836.1176445403576</c:v>
                </c:pt>
                <c:pt idx="289">
                  <c:v>1838.2535658561255</c:v>
                </c:pt>
                <c:pt idx="290">
                  <c:v>1840.2891502504112</c:v>
                </c:pt>
                <c:pt idx="291">
                  <c:v>1842.2245589470729</c:v>
                </c:pt>
                <c:pt idx="292">
                  <c:v>1844.0599461797151</c:v>
                </c:pt>
                <c:pt idx="293">
                  <c:v>1845.7954593325621</c:v>
                </c:pt>
                <c:pt idx="294">
                  <c:v>1847.4312390904624</c:v>
                </c:pt>
                <c:pt idx="295">
                  <c:v>1848.96741959971</c:v>
                </c:pt>
                <c:pt idx="296">
                  <c:v>1850.4041286415422</c:v>
                </c:pt>
                <c:pt idx="297">
                  <c:v>1851.7414878203417</c:v>
                </c:pt>
                <c:pt idx="298">
                  <c:v>1852.9796127687157</c:v>
                </c:pt>
                <c:pt idx="299">
                  <c:v>1854.1186133717504</c:v>
                </c:pt>
                <c:pt idx="300">
                  <c:v>1855.1585940127982</c:v>
                </c:pt>
                <c:pt idx="301">
                  <c:v>1856.0996538431443</c:v>
                </c:pt>
                <c:pt idx="302">
                  <c:v>1856.9418870777899</c:v>
                </c:pt>
                <c:pt idx="303">
                  <c:v>1857.6853833193331</c:v>
                </c:pt>
                <c:pt idx="304">
                  <c:v>1858.3302279115285</c:v>
                </c:pt>
                <c:pt idx="305">
                  <c:v>1858.876502323511</c:v>
                </c:pt>
                <c:pt idx="306">
                  <c:v>1859.3242845648954</c:v>
                </c:pt>
                <c:pt idx="307">
                  <c:v>1859.6736496309943</c:v>
                </c:pt>
                <c:pt idx="308">
                  <c:v>1859.9246699762939</c:v>
                </c:pt>
                <c:pt idx="309">
                  <c:v>1860.0774160131207</c:v>
                </c:pt>
                <c:pt idx="310">
                  <c:v>1860.1319566312261</c:v>
                </c:pt>
                <c:pt idx="311">
                  <c:v>1860.0883597329039</c:v>
                </c:pt>
                <c:pt idx="312">
                  <c:v>1859.9466927773403</c:v>
                </c:pt>
                <c:pt idx="313">
                  <c:v>1859.7070233272875</c:v>
                </c:pt>
                <c:pt idx="314">
                  <c:v>1859.3694195908968</c:v>
                </c:pt>
                <c:pt idx="315">
                  <c:v>1858.9339509517044</c:v>
                </c:pt>
                <c:pt idx="316">
                  <c:v>1858.4006884802816</c:v>
                </c:pt>
                <c:pt idx="317">
                  <c:v>1857.7697054219118</c:v>
                </c:pt>
                <c:pt idx="318">
                  <c:v>1857.0410776557305</c:v>
                </c:pt>
                <c:pt idx="319">
                  <c:v>1856.2148841219635</c:v>
                </c:pt>
                <c:pt idx="320">
                  <c:v>1855.2912072151128</c:v>
                </c:pt>
                <c:pt idx="321">
                  <c:v>1854.2701331420892</c:v>
                </c:pt>
                <c:pt idx="322">
                  <c:v>1853.1517522452896</c:v>
                </c:pt>
                <c:pt idx="323">
                  <c:v>1851.9361592914554</c:v>
                </c:pt>
                <c:pt idx="324">
                  <c:v>1850.6234537277785</c:v>
                </c:pt>
                <c:pt idx="325">
                  <c:v>1849.2137399071767</c:v>
                </c:pt>
                <c:pt idx="326">
                  <c:v>1847.7071272849394</c:v>
                </c:pt>
                <c:pt idx="327">
                  <c:v>1846.1037305890895</c:v>
                </c:pt>
                <c:pt idx="328">
                  <c:v>1844.4036699668316</c:v>
                </c:pt>
                <c:pt idx="329">
                  <c:v>1842.6070711094069</c:v>
                </c:pt>
                <c:pt idx="330">
                  <c:v>1840.7140653575625</c:v>
                </c:pt>
                <c:pt idx="331">
                  <c:v>1838.724789789688</c:v>
                </c:pt>
                <c:pt idx="332">
                  <c:v>1836.6393872945109</c:v>
                </c:pt>
                <c:pt idx="333">
                  <c:v>1834.4580066300575</c:v>
                </c:pt>
                <c:pt idx="334">
                  <c:v>1832.1808024704153</c:v>
                </c:pt>
                <c:pt idx="335">
                  <c:v>1829.8079354416609</c:v>
                </c:pt>
                <c:pt idx="336">
                  <c:v>1827.339572148162</c:v>
                </c:pt>
                <c:pt idx="337">
                  <c:v>1824.7758851903159</c:v>
                </c:pt>
                <c:pt idx="338">
                  <c:v>1822.1170531746593</c:v>
                </c:pt>
                <c:pt idx="339">
                  <c:v>1819.3632607171646</c:v>
                </c:pt>
                <c:pt idx="340">
                  <c:v>1816.5146984404362</c:v>
                </c:pt>
                <c:pt idx="341">
                  <c:v>1813.5715629654303</c:v>
                </c:pt>
                <c:pt idx="342">
                  <c:v>1810.5340568982417</c:v>
                </c:pt>
                <c:pt idx="343">
                  <c:v>1807.4023888124318</c:v>
                </c:pt>
                <c:pt idx="344">
                  <c:v>1804.1767732273115</c:v>
                </c:pt>
                <c:pt idx="345">
                  <c:v>1800.8574305825434</c:v>
                </c:pt>
                <c:pt idx="346">
                  <c:v>1797.4445872093788</c:v>
                </c:pt>
                <c:pt idx="347">
                  <c:v>1793.9384752988101</c:v>
                </c:pt>
                <c:pt idx="348">
                  <c:v>1790.3393328668824</c:v>
                </c:pt>
                <c:pt idx="349">
                  <c:v>1786.6474037173818</c:v>
                </c:pt>
                <c:pt idx="350">
                  <c:v>1782.8629374020923</c:v>
                </c:pt>
                <c:pt idx="351">
                  <c:v>1778.9861891787893</c:v>
                </c:pt>
                <c:pt idx="352">
                  <c:v>1775.0174199671246</c:v>
                </c:pt>
                <c:pt idx="353">
                  <c:v>1770.9568963025347</c:v>
                </c:pt>
                <c:pt idx="354">
                  <c:v>1766.804890288297</c:v>
                </c:pt>
                <c:pt idx="355">
                  <c:v>1762.5616795458432</c:v>
                </c:pt>
                <c:pt idx="356">
                  <c:v>1758.2275471634282</c:v>
                </c:pt>
                <c:pt idx="357">
                  <c:v>1753.8027816432457</c:v>
                </c:pt>
                <c:pt idx="358">
                  <c:v>1749.2876768470735</c:v>
                </c:pt>
                <c:pt idx="359">
                  <c:v>1744.6825319405252</c:v>
                </c:pt>
                <c:pt idx="360">
                  <c:v>1739.9876513359757</c:v>
                </c:pt>
                <c:pt idx="361">
                  <c:v>1735.2033446342293</c:v>
                </c:pt>
                <c:pt idx="362">
                  <c:v>1730.3299265649887</c:v>
                </c:pt>
                <c:pt idx="363">
                  <c:v>1725.3677169261816</c:v>
                </c:pt>
                <c:pt idx="364">
                  <c:v>1720.3170405222002</c:v>
                </c:pt>
                <c:pt idx="365">
                  <c:v>1715.1782271011011</c:v>
                </c:pt>
                <c:pt idx="366">
                  <c:v>1709.9516112908175</c:v>
                </c:pt>
                <c:pt idx="367">
                  <c:v>1704.6375325344245</c:v>
                </c:pt>
                <c:pt idx="368">
                  <c:v>1699.236335024505</c:v>
                </c:pt>
                <c:pt idx="369">
                  <c:v>1693.7483676366564</c:v>
                </c:pt>
                <c:pt idx="370">
                  <c:v>1688.1739838621781</c:v>
                </c:pt>
                <c:pt idx="371">
                  <c:v>1682.5135417399792</c:v>
                </c:pt>
                <c:pt idx="372">
                  <c:v>1676.7674037877441</c:v>
                </c:pt>
                <c:pt idx="373">
                  <c:v>1670.9359369323925</c:v>
                </c:pt>
                <c:pt idx="374">
                  <c:v>1665.0195124398681</c:v>
                </c:pt>
                <c:pt idx="375">
                  <c:v>1659.0185058442942</c:v>
                </c:pt>
                <c:pt idx="376">
                  <c:v>1652.9332968765252</c:v>
                </c:pt>
                <c:pt idx="377">
                  <c:v>1646.7642693921312</c:v>
                </c:pt>
                <c:pt idx="378">
                  <c:v>1640.5118112988462</c:v>
                </c:pt>
                <c:pt idx="379">
                  <c:v>1634.1763144835131</c:v>
                </c:pt>
                <c:pt idx="380">
                  <c:v>1627.7581747385559</c:v>
                </c:pt>
                <c:pt idx="381">
                  <c:v>1621.2577916880093</c:v>
                </c:pt>
                <c:pt idx="382">
                  <c:v>1614.6755687131385</c:v>
                </c:pt>
                <c:pt idx="383">
                  <c:v>1608.0119128776773</c:v>
                </c:pt>
                <c:pt idx="384">
                  <c:v>1601.267234852714</c:v>
                </c:pt>
                <c:pt idx="385">
                  <c:v>1594.441948841255</c:v>
                </c:pt>
                <c:pt idx="386">
                  <c:v>1587.5364725024954</c:v>
                </c:pt>
                <c:pt idx="387">
                  <c:v>1580.5512268758225</c:v>
                </c:pt>
                <c:pt idx="388">
                  <c:v>1573.486636304584</c:v>
                </c:pt>
                <c:pt idx="389">
                  <c:v>1566.343128359644</c:v>
                </c:pt>
                <c:pt idx="390">
                  <c:v>1559.1211337627597</c:v>
                </c:pt>
                <c:pt idx="391">
                  <c:v>1551.8210863098002</c:v>
                </c:pt>
                <c:pt idx="392">
                  <c:v>1544.443422793838</c:v>
                </c:pt>
                <c:pt idx="393">
                  <c:v>1536.9885829281377</c:v>
                </c:pt>
                <c:pt idx="394">
                  <c:v>1529.4570092690697</c:v>
                </c:pt>
                <c:pt idx="395">
                  <c:v>1521.8491471389714</c:v>
                </c:pt>
                <c:pt idx="396">
                  <c:v>1514.1654445489853</c:v>
                </c:pt>
                <c:pt idx="397">
                  <c:v>1506.4063521218961</c:v>
                </c:pt>
                <c:pt idx="398">
                  <c:v>1498.5723230149927</c:v>
                </c:pt>
                <c:pt idx="399">
                  <c:v>1490.6638128429795</c:v>
                </c:pt>
                <c:pt idx="400">
                  <c:v>1482.6812796009613</c:v>
                </c:pt>
                <c:pt idx="401">
                  <c:v>1474.6251835875237</c:v>
                </c:pt>
                <c:pt idx="402">
                  <c:v>1466.4959873279361</c:v>
                </c:pt>
                <c:pt idx="403">
                  <c:v>1458.2941554974966</c:v>
                </c:pt>
                <c:pt idx="404">
                  <c:v>1450.0201548450436</c:v>
                </c:pt>
                <c:pt idx="405">
                  <c:v>1441.6744541166561</c:v>
                </c:pt>
                <c:pt idx="406">
                  <c:v>1433.257523979564</c:v>
                </c:pt>
                <c:pt idx="407">
                  <c:v>1424.7698369462914</c:v>
                </c:pt>
                <c:pt idx="408">
                  <c:v>1416.2118672990528</c:v>
                </c:pt>
                <c:pt idx="409">
                  <c:v>1407.5840910144236</c:v>
                </c:pt>
                <c:pt idx="410">
                  <c:v>1398.8869856883068</c:v>
                </c:pt>
                <c:pt idx="411">
                  <c:v>1390.121030461213</c:v>
                </c:pt>
                <c:pt idx="412">
                  <c:v>1381.2867059438765</c:v>
                </c:pt>
                <c:pt idx="413">
                  <c:v>1372.3844941432262</c:v>
                </c:pt>
                <c:pt idx="414">
                  <c:v>1363.4148783887283</c:v>
                </c:pt>
                <c:pt idx="415">
                  <c:v>1354.3783432591226</c:v>
                </c:pt>
                <c:pt idx="416">
                  <c:v>1345.2753745095681</c:v>
                </c:pt>
                <c:pt idx="417">
                  <c:v>1336.1064589992166</c:v>
                </c:pt>
                <c:pt idx="418">
                  <c:v>1326.872084619233</c:v>
                </c:pt>
                <c:pt idx="419">
                  <c:v>1317.5727402212767</c:v>
                </c:pt>
                <c:pt idx="420">
                  <c:v>1308.2089155464632</c:v>
                </c:pt>
                <c:pt idx="421">
                  <c:v>1298.7811011548206</c:v>
                </c:pt>
                <c:pt idx="422">
                  <c:v>1289.2897883552575</c:v>
                </c:pt>
                <c:pt idx="423">
                  <c:v>1279.7354691360581</c:v>
                </c:pt>
                <c:pt idx="424">
                  <c:v>1270.1186360959177</c:v>
                </c:pt>
                <c:pt idx="425">
                  <c:v>1260.4397823755357</c:v>
                </c:pt>
                <c:pt idx="426">
                  <c:v>1250.6994015897785</c:v>
                </c:pt>
                <c:pt idx="427">
                  <c:v>1240.8979877604258</c:v>
                </c:pt>
                <c:pt idx="428">
                  <c:v>1231.0360352495161</c:v>
                </c:pt>
                <c:pt idx="429">
                  <c:v>1221.1140386933005</c:v>
                </c:pt>
                <c:pt idx="430">
                  <c:v>1211.1324929368211</c:v>
                </c:pt>
                <c:pt idx="431">
                  <c:v>1201.0918929691229</c:v>
                </c:pt>
                <c:pt idx="432">
                  <c:v>1190.9927338591137</c:v>
                </c:pt>
                <c:pt idx="433">
                  <c:v>1180.8355106920806</c:v>
                </c:pt>
                <c:pt idx="434">
                  <c:v>1170.6207185068754</c:v>
                </c:pt>
                <c:pt idx="435">
                  <c:v>1160.3488522337798</c:v>
                </c:pt>
                <c:pt idx="436">
                  <c:v>1150.0204066330589</c:v>
                </c:pt>
                <c:pt idx="437">
                  <c:v>1139.6358762342136</c:v>
                </c:pt>
                <c:pt idx="438">
                  <c:v>1129.19575527594</c:v>
                </c:pt>
                <c:pt idx="439">
                  <c:v>1118.7005376468071</c:v>
                </c:pt>
                <c:pt idx="440">
                  <c:v>1108.1507168266571</c:v>
                </c:pt>
                <c:pt idx="441">
                  <c:v>1097.5467858287409</c:v>
                </c:pt>
                <c:pt idx="442">
                  <c:v>1086.8892371425914</c:v>
                </c:pt>
                <c:pt idx="443">
                  <c:v>1076.1785626776464</c:v>
                </c:pt>
                <c:pt idx="444">
                  <c:v>1065.4152537076252</c:v>
                </c:pt>
                <c:pt idx="445">
                  <c:v>1054.5998008156648</c:v>
                </c:pt>
                <c:pt idx="446">
                  <c:v>1043.7326938402239</c:v>
                </c:pt>
                <c:pt idx="447">
                  <c:v>1032.8144218217576</c:v>
                </c:pt>
                <c:pt idx="448">
                  <c:v>1021.8454729501716</c:v>
                </c:pt>
                <c:pt idx="449">
                  <c:v>1010.8263345130558</c:v>
                </c:pt>
                <c:pt idx="450">
                  <c:v>999.75749284470635</c:v>
                </c:pt>
                <c:pt idx="451">
                  <c:v>988.63943327593756</c:v>
                </c:pt>
                <c:pt idx="452">
                  <c:v>977.47264008468778</c:v>
                </c:pt>
                <c:pt idx="453">
                  <c:v>966.25759644742368</c:v>
                </c:pt>
                <c:pt idx="454">
                  <c:v>954.99478439134407</c:v>
                </c:pt>
                <c:pt idx="455">
                  <c:v>943.68468474738756</c:v>
                </c:pt>
                <c:pt idx="456">
                  <c:v>932.32777710404548</c:v>
                </c:pt>
                <c:pt idx="457">
                  <c:v>920.9245397619818</c:v>
                </c:pt>
                <c:pt idx="458">
                  <c:v>909.47544968946227</c:v>
                </c:pt>
                <c:pt idx="459">
                  <c:v>897.98098247859355</c:v>
                </c:pt>
                <c:pt idx="460">
                  <c:v>886.4416123023733</c:v>
                </c:pt>
                <c:pt idx="461">
                  <c:v>874.85781187255202</c:v>
                </c:pt>
                <c:pt idx="462">
                  <c:v>863.23005239830673</c:v>
                </c:pt>
                <c:pt idx="463">
                  <c:v>851.55880354572628</c:v>
                </c:pt>
                <c:pt idx="464">
                  <c:v>839.84453339810875</c:v>
                </c:pt>
                <c:pt idx="465">
                  <c:v>828.08770841706894</c:v>
                </c:pt>
                <c:pt idx="466">
                  <c:v>816.2887934044561</c:v>
                </c:pt>
                <c:pt idx="467">
                  <c:v>804.44825146508026</c:v>
                </c:pt>
                <c:pt idx="468">
                  <c:v>792.56654397024568</c:v>
                </c:pt>
                <c:pt idx="469">
                  <c:v>780.64413052208988</c:v>
                </c:pt>
                <c:pt idx="470">
                  <c:v>768.68146891872516</c:v>
                </c:pt>
                <c:pt idx="471">
                  <c:v>756.67901512018193</c:v>
                </c:pt>
                <c:pt idx="472">
                  <c:v>744.63722321514979</c:v>
                </c:pt>
                <c:pt idx="473">
                  <c:v>732.556545388514</c:v>
                </c:pt>
                <c:pt idx="474">
                  <c:v>720.4374318896846</c:v>
                </c:pt>
                <c:pt idx="475">
                  <c:v>708.28033100171456</c:v>
                </c:pt>
                <c:pt idx="476">
                  <c:v>696.08568901120293</c:v>
                </c:pt>
                <c:pt idx="477">
                  <c:v>683.85395017897997</c:v>
                </c:pt>
                <c:pt idx="478">
                  <c:v>671.58555671156978</c:v>
                </c:pt>
                <c:pt idx="479">
                  <c:v>659.28094873342627</c:v>
                </c:pt>
                <c:pt idx="480">
                  <c:v>646.94056425993801</c:v>
                </c:pt>
                <c:pt idx="481">
                  <c:v>634.56483917119704</c:v>
                </c:pt>
                <c:pt idx="482">
                  <c:v>622.15420718652763</c:v>
                </c:pt>
                <c:pt idx="483">
                  <c:v>609.70909983976878</c:v>
                </c:pt>
                <c:pt idx="484">
                  <c:v>597.22994645530594</c:v>
                </c:pt>
                <c:pt idx="485">
                  <c:v>584.71717412484657</c:v>
                </c:pt>
                <c:pt idx="486">
                  <c:v>572.17120768493362</c:v>
                </c:pt>
                <c:pt idx="487">
                  <c:v>559.59246969519131</c:v>
                </c:pt>
                <c:pt idx="488">
                  <c:v>546.98138041729726</c:v>
                </c:pt>
                <c:pt idx="489">
                  <c:v>534.33835779467495</c:v>
                </c:pt>
                <c:pt idx="490">
                  <c:v>521.66381743290049</c:v>
                </c:pt>
                <c:pt idx="491">
                  <c:v>508.95817258081655</c:v>
                </c:pt>
                <c:pt idx="492">
                  <c:v>496.22183411234835</c:v>
                </c:pt>
                <c:pt idx="493">
                  <c:v>483.45521050901328</c:v>
                </c:pt>
                <c:pt idx="494">
                  <c:v>470.65870784311909</c:v>
                </c:pt>
                <c:pt idx="495">
                  <c:v>457.83272976164261</c:v>
                </c:pt>
                <c:pt idx="496">
                  <c:v>444.97767747078251</c:v>
                </c:pt>
                <c:pt idx="497">
                  <c:v>432.09394972117883</c:v>
                </c:pt>
                <c:pt idx="498">
                  <c:v>419.18194279379236</c:v>
                </c:pt>
                <c:pt idx="499">
                  <c:v>406.24205048643597</c:v>
                </c:pt>
                <c:pt idx="500">
                  <c:v>393.27466410095116</c:v>
                </c:pt>
                <c:pt idx="501">
                  <c:v>380.28017243102175</c:v>
                </c:pt>
                <c:pt idx="502">
                  <c:v>367.2589617506178</c:v>
                </c:pt>
                <c:pt idx="503">
                  <c:v>354.2114158030613</c:v>
                </c:pt>
                <c:pt idx="504">
                  <c:v>341.13791579070664</c:v>
                </c:pt>
                <c:pt idx="505">
                  <c:v>328.03884036522766</c:v>
                </c:pt>
                <c:pt idx="506">
                  <c:v>314.91456561850367</c:v>
                </c:pt>
                <c:pt idx="507">
                  <c:v>301.76546507409626</c:v>
                </c:pt>
                <c:pt idx="508">
                  <c:v>288.5919096793092</c:v>
                </c:pt>
                <c:pt idx="509">
                  <c:v>275.3942677978232</c:v>
                </c:pt>
                <c:pt idx="510">
                  <c:v>262.17290520289799</c:v>
                </c:pt>
                <c:pt idx="511">
                  <c:v>248.92818507113265</c:v>
                </c:pt>
                <c:pt idx="512">
                  <c:v>235.66046797677723</c:v>
                </c:pt>
                <c:pt idx="513">
                  <c:v>222.37011188658673</c:v>
                </c:pt>
                <c:pt idx="514">
                  <c:v>209.05747215520947</c:v>
                </c:pt>
                <c:pt idx="515">
                  <c:v>195.72290152110168</c:v>
                </c:pt>
                <c:pt idx="516">
                  <c:v>182.36675010296022</c:v>
                </c:pt>
                <c:pt idx="517">
                  <c:v>168.98936539666505</c:v>
                </c:pt>
                <c:pt idx="518">
                  <c:v>155.59109227272305</c:v>
                </c:pt>
                <c:pt idx="519">
                  <c:v>142.1722729742055</c:v>
                </c:pt>
                <c:pt idx="520">
                  <c:v>128.73324711517037</c:v>
                </c:pt>
                <c:pt idx="521">
                  <c:v>115.27435167956151</c:v>
                </c:pt>
                <c:pt idx="522">
                  <c:v>101.79592102057647</c:v>
                </c:pt>
                <c:pt idx="523">
                  <c:v>88.298286860494756</c:v>
                </c:pt>
                <c:pt idx="524">
                  <c:v>74.781778290958073</c:v>
                </c:pt>
                <c:pt idx="525">
                  <c:v>61.246721773694752</c:v>
                </c:pt>
                <c:pt idx="526">
                  <c:v>47.693441141679791</c:v>
                </c:pt>
                <c:pt idx="527">
                  <c:v>34.122257600722669</c:v>
                </c:pt>
                <c:pt idx="528">
                  <c:v>20.533489731474582</c:v>
                </c:pt>
                <c:pt idx="529">
                  <c:v>6.9274534918471407</c:v>
                </c:pt>
                <c:pt idx="530">
                  <c:v>-6.6955377801656066</c:v>
                </c:pt>
                <c:pt idx="531">
                  <c:v>-6.7091691791914165</c:v>
                </c:pt>
                <c:pt idx="532">
                  <c:v>-6.7228005947066771</c:v>
                </c:pt>
                <c:pt idx="533">
                  <c:v>-6.7364320267110829</c:v>
                </c:pt>
                <c:pt idx="534">
                  <c:v>-6.7500634752043274</c:v>
                </c:pt>
                <c:pt idx="535">
                  <c:v>-6.7636949401861042</c:v>
                </c:pt>
                <c:pt idx="536">
                  <c:v>-6.7773264216561069</c:v>
                </c:pt>
                <c:pt idx="537">
                  <c:v>-6.7909579196140291</c:v>
                </c:pt>
                <c:pt idx="538">
                  <c:v>-6.8045894340595652</c:v>
                </c:pt>
                <c:pt idx="539">
                  <c:v>-6.8182209649924079</c:v>
                </c:pt>
                <c:pt idx="540">
                  <c:v>-6.8318525124122518</c:v>
                </c:pt>
                <c:pt idx="541">
                  <c:v>-6.8454840763187903</c:v>
                </c:pt>
                <c:pt idx="542">
                  <c:v>-6.8591156567117171</c:v>
                </c:pt>
                <c:pt idx="543">
                  <c:v>-6.8727472535907266</c:v>
                </c:pt>
                <c:pt idx="544">
                  <c:v>-6.8863788669555124</c:v>
                </c:pt>
                <c:pt idx="545">
                  <c:v>-6.9000104968057681</c:v>
                </c:pt>
                <c:pt idx="546">
                  <c:v>-6.9136421431411872</c:v>
                </c:pt>
                <c:pt idx="547">
                  <c:v>-6.9272738059614634</c:v>
                </c:pt>
                <c:pt idx="548">
                  <c:v>-6.940905485266291</c:v>
                </c:pt>
                <c:pt idx="549">
                  <c:v>-6.9545371810553629</c:v>
                </c:pt>
                <c:pt idx="550">
                  <c:v>-6.9681688933283734</c:v>
                </c:pt>
                <c:pt idx="551">
                  <c:v>-6.9818006220850171</c:v>
                </c:pt>
                <c:pt idx="552">
                  <c:v>-6.9954323673249865</c:v>
                </c:pt>
                <c:pt idx="553">
                  <c:v>-7.0090641290479763</c:v>
                </c:pt>
                <c:pt idx="554">
                  <c:v>-7.0226959072536799</c:v>
                </c:pt>
                <c:pt idx="555">
                  <c:v>-7.0363277019417909</c:v>
                </c:pt>
                <c:pt idx="556">
                  <c:v>-7.049959513112003</c:v>
                </c:pt>
                <c:pt idx="557">
                  <c:v>-7.0635913407640105</c:v>
                </c:pt>
                <c:pt idx="558">
                  <c:v>-7.0772231848975071</c:v>
                </c:pt>
                <c:pt idx="559">
                  <c:v>-7.0908550455121864</c:v>
                </c:pt>
                <c:pt idx="560">
                  <c:v>-7.1044869226077418</c:v>
                </c:pt>
                <c:pt idx="561">
                  <c:v>-7.118118816183868</c:v>
                </c:pt>
                <c:pt idx="562">
                  <c:v>-7.1317507262402584</c:v>
                </c:pt>
                <c:pt idx="563">
                  <c:v>-7.1453826527766067</c:v>
                </c:pt>
                <c:pt idx="564">
                  <c:v>-7.1590145957926064</c:v>
                </c:pt>
                <c:pt idx="565">
                  <c:v>-7.1726465552879519</c:v>
                </c:pt>
                <c:pt idx="566">
                  <c:v>-7.186278531262337</c:v>
                </c:pt>
                <c:pt idx="567">
                  <c:v>-7.199910523715455</c:v>
                </c:pt>
                <c:pt idx="568">
                  <c:v>-7.2135425326470006</c:v>
                </c:pt>
                <c:pt idx="569">
                  <c:v>-7.2271745580566664</c:v>
                </c:pt>
                <c:pt idx="570">
                  <c:v>-7.2408065999441469</c:v>
                </c:pt>
                <c:pt idx="571">
                  <c:v>-7.2544386583091365</c:v>
                </c:pt>
                <c:pt idx="572">
                  <c:v>-7.2680707331513279</c:v>
                </c:pt>
                <c:pt idx="573">
                  <c:v>-7.2817028244704156</c:v>
                </c:pt>
                <c:pt idx="574">
                  <c:v>-7.2953349322660941</c:v>
                </c:pt>
                <c:pt idx="575">
                  <c:v>-7.308967056538056</c:v>
                </c:pt>
                <c:pt idx="576">
                  <c:v>-7.3225991972859958</c:v>
                </c:pt>
                <c:pt idx="577">
                  <c:v>-7.3362313545096072</c:v>
                </c:pt>
                <c:pt idx="578">
                  <c:v>-7.3498635282085836</c:v>
                </c:pt>
                <c:pt idx="579">
                  <c:v>-7.3634957183826195</c:v>
                </c:pt>
                <c:pt idx="580">
                  <c:v>-7.3771279250314086</c:v>
                </c:pt>
                <c:pt idx="581">
                  <c:v>-7.3907601481546452</c:v>
                </c:pt>
                <c:pt idx="582">
                  <c:v>-7.4043923877520221</c:v>
                </c:pt>
                <c:pt idx="583">
                  <c:v>-7.4180246438232338</c:v>
                </c:pt>
                <c:pt idx="584">
                  <c:v>-7.4316569163679747</c:v>
                </c:pt>
                <c:pt idx="585">
                  <c:v>-7.4452892053859374</c:v>
                </c:pt>
                <c:pt idx="586">
                  <c:v>-7.4589215108768165</c:v>
                </c:pt>
                <c:pt idx="587">
                  <c:v>-7.4725538328403065</c:v>
                </c:pt>
                <c:pt idx="588">
                  <c:v>-7.4861861712761</c:v>
                </c:pt>
                <c:pt idx="589">
                  <c:v>-7.4998185261838914</c:v>
                </c:pt>
                <c:pt idx="590">
                  <c:v>-7.5134508975633745</c:v>
                </c:pt>
                <c:pt idx="591">
                  <c:v>-7.5270832854142435</c:v>
                </c:pt>
                <c:pt idx="592">
                  <c:v>-7.5407156897361922</c:v>
                </c:pt>
                <c:pt idx="593">
                  <c:v>-7.5543481105289141</c:v>
                </c:pt>
                <c:pt idx="594">
                  <c:v>-7.5679805477921036</c:v>
                </c:pt>
                <c:pt idx="595">
                  <c:v>-7.5816130015254544</c:v>
                </c:pt>
                <c:pt idx="596">
                  <c:v>-7.5952454717286608</c:v>
                </c:pt>
                <c:pt idx="597">
                  <c:v>-7.6088779584014157</c:v>
                </c:pt>
                <c:pt idx="598">
                  <c:v>-7.6225104615434143</c:v>
                </c:pt>
                <c:pt idx="599">
                  <c:v>-7.6361429811543493</c:v>
                </c:pt>
                <c:pt idx="600">
                  <c:v>-7.6497755172339152</c:v>
                </c:pt>
                <c:pt idx="601">
                  <c:v>-7.6634080697818057</c:v>
                </c:pt>
                <c:pt idx="602">
                  <c:v>-7.677040638797715</c:v>
                </c:pt>
                <c:pt idx="603">
                  <c:v>-7.6906732242813369</c:v>
                </c:pt>
                <c:pt idx="604">
                  <c:v>-7.7043058262323649</c:v>
                </c:pt>
                <c:pt idx="605">
                  <c:v>-7.7179384446504935</c:v>
                </c:pt>
                <c:pt idx="606">
                  <c:v>-7.7315710795354162</c:v>
                </c:pt>
                <c:pt idx="607">
                  <c:v>-7.7452037308868276</c:v>
                </c:pt>
                <c:pt idx="608">
                  <c:v>-7.7588363987044202</c:v>
                </c:pt>
                <c:pt idx="609">
                  <c:v>-7.7724690829878895</c:v>
                </c:pt>
                <c:pt idx="610">
                  <c:v>-7.7861017837369291</c:v>
                </c:pt>
                <c:pt idx="611">
                  <c:v>-7.7997345009512324</c:v>
                </c:pt>
                <c:pt idx="612">
                  <c:v>-7.8133672346304932</c:v>
                </c:pt>
                <c:pt idx="613">
                  <c:v>-7.8269999847744058</c:v>
                </c:pt>
                <c:pt idx="614">
                  <c:v>-7.8406327513826639</c:v>
                </c:pt>
                <c:pt idx="615">
                  <c:v>-7.8542655344549619</c:v>
                </c:pt>
                <c:pt idx="616">
                  <c:v>-7.8678983339909934</c:v>
                </c:pt>
                <c:pt idx="617">
                  <c:v>-7.8815311499904528</c:v>
                </c:pt>
                <c:pt idx="618">
                  <c:v>-7.8951639824530337</c:v>
                </c:pt>
                <c:pt idx="619">
                  <c:v>-7.9087968313784298</c:v>
                </c:pt>
                <c:pt idx="620">
                  <c:v>-7.9224296967663355</c:v>
                </c:pt>
                <c:pt idx="621">
                  <c:v>-7.9360625786164452</c:v>
                </c:pt>
                <c:pt idx="622">
                  <c:v>-7.9496954769284516</c:v>
                </c:pt>
                <c:pt idx="623">
                  <c:v>-7.9633283917020492</c:v>
                </c:pt>
                <c:pt idx="624">
                  <c:v>-7.9769613229369325</c:v>
                </c:pt>
                <c:pt idx="625">
                  <c:v>-7.990594270632795</c:v>
                </c:pt>
                <c:pt idx="626">
                  <c:v>-8.0042272347893313</c:v>
                </c:pt>
                <c:pt idx="627">
                  <c:v>-8.0178602154062339</c:v>
                </c:pt>
                <c:pt idx="628">
                  <c:v>-8.0314932124831984</c:v>
                </c:pt>
                <c:pt idx="629">
                  <c:v>-8.0451262260199172</c:v>
                </c:pt>
                <c:pt idx="630">
                  <c:v>-8.058759256016085</c:v>
                </c:pt>
                <c:pt idx="631">
                  <c:v>-8.0723923024713962</c:v>
                </c:pt>
                <c:pt idx="632">
                  <c:v>-8.0860253653855452</c:v>
                </c:pt>
                <c:pt idx="633">
                  <c:v>-8.0996584447582247</c:v>
                </c:pt>
                <c:pt idx="634">
                  <c:v>-8.1132915405891293</c:v>
                </c:pt>
                <c:pt idx="635">
                  <c:v>-8.1269246528779533</c:v>
                </c:pt>
                <c:pt idx="636">
                  <c:v>-8.1405577816243913</c:v>
                </c:pt>
                <c:pt idx="637">
                  <c:v>-8.1541909268281358</c:v>
                </c:pt>
                <c:pt idx="638">
                  <c:v>-8.1678240884888815</c:v>
                </c:pt>
                <c:pt idx="639">
                  <c:v>-8.1814572666063228</c:v>
                </c:pt>
                <c:pt idx="640">
                  <c:v>-8.1950904611801523</c:v>
                </c:pt>
                <c:pt idx="641">
                  <c:v>-8.2087236722100663</c:v>
                </c:pt>
                <c:pt idx="642">
                  <c:v>-8.2223568996957574</c:v>
                </c:pt>
                <c:pt idx="643">
                  <c:v>-8.2359901436369185</c:v>
                </c:pt>
                <c:pt idx="644">
                  <c:v>-8.2496234040332457</c:v>
                </c:pt>
                <c:pt idx="645">
                  <c:v>-8.2632566808844317</c:v>
                </c:pt>
                <c:pt idx="646">
                  <c:v>-8.2768899741901709</c:v>
                </c:pt>
                <c:pt idx="647">
                  <c:v>-8.2905232839501579</c:v>
                </c:pt>
                <c:pt idx="648">
                  <c:v>-8.3041566101640854</c:v>
                </c:pt>
                <c:pt idx="649">
                  <c:v>-8.3177899528316495</c:v>
                </c:pt>
                <c:pt idx="650">
                  <c:v>-8.3314233119525429</c:v>
                </c:pt>
                <c:pt idx="651">
                  <c:v>-8.3450566875264585</c:v>
                </c:pt>
                <c:pt idx="652">
                  <c:v>-8.3586900795530923</c:v>
                </c:pt>
                <c:pt idx="653">
                  <c:v>-8.3723234880321371</c:v>
                </c:pt>
                <c:pt idx="654">
                  <c:v>-8.3859569129632874</c:v>
                </c:pt>
                <c:pt idx="655">
                  <c:v>-8.3995903543462376</c:v>
                </c:pt>
                <c:pt idx="656">
                  <c:v>-8.4132238121806822</c:v>
                </c:pt>
                <c:pt idx="657">
                  <c:v>-8.4268572864663138</c:v>
                </c:pt>
                <c:pt idx="658">
                  <c:v>-8.440490777202827</c:v>
                </c:pt>
                <c:pt idx="659">
                  <c:v>-8.4541242843899163</c:v>
                </c:pt>
                <c:pt idx="660">
                  <c:v>-8.467757808027276</c:v>
                </c:pt>
                <c:pt idx="661">
                  <c:v>-8.4813913481145988</c:v>
                </c:pt>
                <c:pt idx="662">
                  <c:v>-8.4950249046515793</c:v>
                </c:pt>
                <c:pt idx="663">
                  <c:v>-8.5086584776379119</c:v>
                </c:pt>
                <c:pt idx="664">
                  <c:v>-8.5222920670732911</c:v>
                </c:pt>
                <c:pt idx="665">
                  <c:v>-8.5359256729574113</c:v>
                </c:pt>
                <c:pt idx="666">
                  <c:v>-8.5495592952899653</c:v>
                </c:pt>
                <c:pt idx="667">
                  <c:v>-8.5631929340706474</c:v>
                </c:pt>
                <c:pt idx="668">
                  <c:v>-8.5768265892991522</c:v>
                </c:pt>
                <c:pt idx="669">
                  <c:v>-8.5904602609751741</c:v>
                </c:pt>
                <c:pt idx="670">
                  <c:v>-8.6040939490984059</c:v>
                </c:pt>
                <c:pt idx="671">
                  <c:v>-8.6177276536685419</c:v>
                </c:pt>
                <c:pt idx="672">
                  <c:v>-8.6313613746852766</c:v>
                </c:pt>
                <c:pt idx="673">
                  <c:v>-8.6449951121483046</c:v>
                </c:pt>
                <c:pt idx="674">
                  <c:v>-8.6586288660573203</c:v>
                </c:pt>
                <c:pt idx="675">
                  <c:v>-8.6722626364120163</c:v>
                </c:pt>
                <c:pt idx="676">
                  <c:v>-8.6858964232120872</c:v>
                </c:pt>
                <c:pt idx="677">
                  <c:v>-8.6995302264572274</c:v>
                </c:pt>
                <c:pt idx="678">
                  <c:v>-8.7131640461471314</c:v>
                </c:pt>
                <c:pt idx="679">
                  <c:v>-8.7267978822814936</c:v>
                </c:pt>
                <c:pt idx="680">
                  <c:v>-8.7404317348600067</c:v>
                </c:pt>
                <c:pt idx="681">
                  <c:v>-8.7540656038823652</c:v>
                </c:pt>
                <c:pt idx="682">
                  <c:v>-8.7676994893482636</c:v>
                </c:pt>
                <c:pt idx="683">
                  <c:v>-8.7813333912573963</c:v>
                </c:pt>
                <c:pt idx="684">
                  <c:v>-8.7949673096094578</c:v>
                </c:pt>
                <c:pt idx="685">
                  <c:v>-8.8086012444041408</c:v>
                </c:pt>
                <c:pt idx="686">
                  <c:v>-8.8222351956411416</c:v>
                </c:pt>
                <c:pt idx="687">
                  <c:v>-8.8358691633201527</c:v>
                </c:pt>
                <c:pt idx="688">
                  <c:v>-8.849503147440867</c:v>
                </c:pt>
                <c:pt idx="689">
                  <c:v>-8.8631371480029806</c:v>
                </c:pt>
                <c:pt idx="690">
                  <c:v>-8.876771165006188</c:v>
                </c:pt>
                <c:pt idx="691">
                  <c:v>-8.890405198450182</c:v>
                </c:pt>
                <c:pt idx="692">
                  <c:v>-8.9040392483346569</c:v>
                </c:pt>
                <c:pt idx="693">
                  <c:v>-8.9176733146593072</c:v>
                </c:pt>
                <c:pt idx="694">
                  <c:v>-8.9313073974238275</c:v>
                </c:pt>
                <c:pt idx="695">
                  <c:v>-8.9449414966279104</c:v>
                </c:pt>
                <c:pt idx="696">
                  <c:v>-8.9585756122712521</c:v>
                </c:pt>
                <c:pt idx="697">
                  <c:v>-8.9722097443535453</c:v>
                </c:pt>
                <c:pt idx="698">
                  <c:v>-8.9858438928744846</c:v>
                </c:pt>
                <c:pt idx="699">
                  <c:v>-8.9994780578337643</c:v>
                </c:pt>
                <c:pt idx="700">
                  <c:v>-9.013112239231079</c:v>
                </c:pt>
                <c:pt idx="701">
                  <c:v>-9.0267464370661212</c:v>
                </c:pt>
                <c:pt idx="702">
                  <c:v>-9.0403806513385874</c:v>
                </c:pt>
                <c:pt idx="703">
                  <c:v>-9.0540148820481701</c:v>
                </c:pt>
                <c:pt idx="704">
                  <c:v>-9.0676491291945638</c:v>
                </c:pt>
                <c:pt idx="705">
                  <c:v>-9.081283392777463</c:v>
                </c:pt>
                <c:pt idx="706">
                  <c:v>-9.0949176727965622</c:v>
                </c:pt>
                <c:pt idx="707">
                  <c:v>-9.108551969251554</c:v>
                </c:pt>
                <c:pt idx="708">
                  <c:v>-9.1221862821421347</c:v>
                </c:pt>
                <c:pt idx="709">
                  <c:v>-9.135820611467997</c:v>
                </c:pt>
                <c:pt idx="710">
                  <c:v>-9.1494549572288353</c:v>
                </c:pt>
                <c:pt idx="711">
                  <c:v>-9.1630893194243441</c:v>
                </c:pt>
                <c:pt idx="712">
                  <c:v>-9.1767236980542179</c:v>
                </c:pt>
                <c:pt idx="713">
                  <c:v>-9.1903580931181494</c:v>
                </c:pt>
                <c:pt idx="714">
                  <c:v>-9.2039925046158348</c:v>
                </c:pt>
                <c:pt idx="715">
                  <c:v>-9.2176269325469669</c:v>
                </c:pt>
                <c:pt idx="716">
                  <c:v>-9.2312613769112399</c:v>
                </c:pt>
                <c:pt idx="717">
                  <c:v>-9.2448958377083486</c:v>
                </c:pt>
                <c:pt idx="718">
                  <c:v>-9.2585303149379872</c:v>
                </c:pt>
                <c:pt idx="719">
                  <c:v>-9.2721648085998503</c:v>
                </c:pt>
                <c:pt idx="720">
                  <c:v>-9.2857993186936323</c:v>
                </c:pt>
                <c:pt idx="721">
                  <c:v>-9.2994338452190259</c:v>
                </c:pt>
                <c:pt idx="722">
                  <c:v>-9.3130683881757275</c:v>
                </c:pt>
                <c:pt idx="723">
                  <c:v>-9.3267029475634295</c:v>
                </c:pt>
                <c:pt idx="724">
                  <c:v>-9.3403375233818267</c:v>
                </c:pt>
                <c:pt idx="725">
                  <c:v>-9.3539721156306133</c:v>
                </c:pt>
                <c:pt idx="726">
                  <c:v>-9.3676067243094838</c:v>
                </c:pt>
                <c:pt idx="727">
                  <c:v>-9.381241349418131</c:v>
                </c:pt>
                <c:pt idx="728">
                  <c:v>-9.3948759909562511</c:v>
                </c:pt>
                <c:pt idx="729">
                  <c:v>-9.4085106489235368</c:v>
                </c:pt>
                <c:pt idx="730">
                  <c:v>-9.4221453233196844</c:v>
                </c:pt>
                <c:pt idx="731">
                  <c:v>-9.4357800141443864</c:v>
                </c:pt>
                <c:pt idx="732">
                  <c:v>-9.4494147213973374</c:v>
                </c:pt>
                <c:pt idx="733">
                  <c:v>-9.4630494450782319</c:v>
                </c:pt>
                <c:pt idx="734">
                  <c:v>-9.4766841851867643</c:v>
                </c:pt>
                <c:pt idx="735">
                  <c:v>-9.4903189417226272</c:v>
                </c:pt>
                <c:pt idx="736">
                  <c:v>-9.5039537146855171</c:v>
                </c:pt>
                <c:pt idx="737">
                  <c:v>-9.5175885040751265</c:v>
                </c:pt>
                <c:pt idx="738">
                  <c:v>-9.5312233098911516</c:v>
                </c:pt>
                <c:pt idx="739">
                  <c:v>-9.5448581321332853</c:v>
                </c:pt>
                <c:pt idx="740">
                  <c:v>-9.5584929708012218</c:v>
                </c:pt>
                <c:pt idx="741">
                  <c:v>-9.5721278258946558</c:v>
                </c:pt>
                <c:pt idx="742">
                  <c:v>-9.5857626974132817</c:v>
                </c:pt>
                <c:pt idx="743">
                  <c:v>-9.5993975853567939</c:v>
                </c:pt>
                <c:pt idx="744">
                  <c:v>-9.6130324897248851</c:v>
                </c:pt>
                <c:pt idx="745">
                  <c:v>-9.6266674105172516</c:v>
                </c:pt>
                <c:pt idx="746">
                  <c:v>-9.6403023477335861</c:v>
                </c:pt>
                <c:pt idx="747">
                  <c:v>-9.6539373013735847</c:v>
                </c:pt>
                <c:pt idx="748">
                  <c:v>-9.6675722714369403</c:v>
                </c:pt>
                <c:pt idx="749">
                  <c:v>-9.6812072579233472</c:v>
                </c:pt>
                <c:pt idx="750">
                  <c:v>-9.6948422608325</c:v>
                </c:pt>
                <c:pt idx="751">
                  <c:v>-9.7084772801640931</c:v>
                </c:pt>
                <c:pt idx="752">
                  <c:v>-9.7221123159178209</c:v>
                </c:pt>
                <c:pt idx="753">
                  <c:v>-9.7357473680933779</c:v>
                </c:pt>
                <c:pt idx="754">
                  <c:v>-9.7493824366904587</c:v>
                </c:pt>
                <c:pt idx="755">
                  <c:v>-9.7630175217087558</c:v>
                </c:pt>
                <c:pt idx="756">
                  <c:v>-9.7766526231479656</c:v>
                </c:pt>
                <c:pt idx="757">
                  <c:v>-9.7902877410077807</c:v>
                </c:pt>
                <c:pt idx="758">
                  <c:v>-9.8039228752878973</c:v>
                </c:pt>
                <c:pt idx="759">
                  <c:v>-9.8175580259880082</c:v>
                </c:pt>
                <c:pt idx="760">
                  <c:v>-9.8311931931078078</c:v>
                </c:pt>
                <c:pt idx="761">
                  <c:v>-9.8448283766469906</c:v>
                </c:pt>
                <c:pt idx="762">
                  <c:v>-9.8584635766052511</c:v>
                </c:pt>
                <c:pt idx="763">
                  <c:v>-9.8720987929822837</c:v>
                </c:pt>
                <c:pt idx="764">
                  <c:v>-9.8857340257777828</c:v>
                </c:pt>
                <c:pt idx="765">
                  <c:v>-9.899369274991443</c:v>
                </c:pt>
                <c:pt idx="766">
                  <c:v>-9.9130045406229588</c:v>
                </c:pt>
                <c:pt idx="767">
                  <c:v>-9.9266398226720227</c:v>
                </c:pt>
                <c:pt idx="768">
                  <c:v>-9.9402751211383311</c:v>
                </c:pt>
                <c:pt idx="769">
                  <c:v>-9.9539104360215767</c:v>
                </c:pt>
                <c:pt idx="770">
                  <c:v>-9.9675457673214556</c:v>
                </c:pt>
                <c:pt idx="771">
                  <c:v>-9.9811811150376606</c:v>
                </c:pt>
                <c:pt idx="772">
                  <c:v>-9.9948164791698861</c:v>
                </c:pt>
                <c:pt idx="773">
                  <c:v>-10.008451859717828</c:v>
                </c:pt>
                <c:pt idx="774">
                  <c:v>-10.02208725668118</c:v>
                </c:pt>
                <c:pt idx="775">
                  <c:v>-10.035722670059636</c:v>
                </c:pt>
                <c:pt idx="776">
                  <c:v>-10.04935809985289</c:v>
                </c:pt>
                <c:pt idx="777">
                  <c:v>-10.062993546060637</c:v>
                </c:pt>
                <c:pt idx="778">
                  <c:v>-10.076629008682572</c:v>
                </c:pt>
                <c:pt idx="779">
                  <c:v>-10.090264487718388</c:v>
                </c:pt>
                <c:pt idx="780">
                  <c:v>-10.10389998316778</c:v>
                </c:pt>
                <c:pt idx="781">
                  <c:v>-10.117535495030442</c:v>
                </c:pt>
                <c:pt idx="782">
                  <c:v>-10.131171023306068</c:v>
                </c:pt>
                <c:pt idx="783">
                  <c:v>-10.144806567994355</c:v>
                </c:pt>
                <c:pt idx="784">
                  <c:v>-10.158442129094993</c:v>
                </c:pt>
                <c:pt idx="785">
                  <c:v>-10.172077706607681</c:v>
                </c:pt>
                <c:pt idx="786">
                  <c:v>-10.185713300532111</c:v>
                </c:pt>
                <c:pt idx="787">
                  <c:v>-10.199348910867977</c:v>
                </c:pt>
                <c:pt idx="788">
                  <c:v>-10.212984537614975</c:v>
                </c:pt>
                <c:pt idx="789">
                  <c:v>-10.226620180772798</c:v>
                </c:pt>
                <c:pt idx="790">
                  <c:v>-10.24025584034114</c:v>
                </c:pt>
                <c:pt idx="791">
                  <c:v>-10.253891516319698</c:v>
                </c:pt>
                <c:pt idx="792">
                  <c:v>-10.267527208708163</c:v>
                </c:pt>
                <c:pt idx="793">
                  <c:v>-10.281162917506231</c:v>
                </c:pt>
                <c:pt idx="794">
                  <c:v>-10.294798642713596</c:v>
                </c:pt>
                <c:pt idx="795">
                  <c:v>-10.308434384329955</c:v>
                </c:pt>
                <c:pt idx="796">
                  <c:v>-10.322070142354999</c:v>
                </c:pt>
                <c:pt idx="797">
                  <c:v>-10.335705916788424</c:v>
                </c:pt>
                <c:pt idx="798">
                  <c:v>-10.349341707629923</c:v>
                </c:pt>
                <c:pt idx="799">
                  <c:v>-10.362977514879192</c:v>
                </c:pt>
                <c:pt idx="800">
                  <c:v>-10.376613338535925</c:v>
                </c:pt>
                <c:pt idx="801">
                  <c:v>-10.390249178599817</c:v>
                </c:pt>
                <c:pt idx="802">
                  <c:v>-10.403885035070561</c:v>
                </c:pt>
                <c:pt idx="803">
                  <c:v>-10.417520907947852</c:v>
                </c:pt>
                <c:pt idx="804">
                  <c:v>-10.431156797231385</c:v>
                </c:pt>
                <c:pt idx="805">
                  <c:v>-10.444792702920854</c:v>
                </c:pt>
                <c:pt idx="806">
                  <c:v>-10.458428625015953</c:v>
                </c:pt>
                <c:pt idx="807">
                  <c:v>-10.472064563516378</c:v>
                </c:pt>
                <c:pt idx="808">
                  <c:v>-10.485700518421822</c:v>
                </c:pt>
                <c:pt idx="809">
                  <c:v>-10.499336489731981</c:v>
                </c:pt>
                <c:pt idx="810">
                  <c:v>-10.512972477446548</c:v>
                </c:pt>
                <c:pt idx="811">
                  <c:v>-10.526608481565217</c:v>
                </c:pt>
                <c:pt idx="812">
                  <c:v>-10.540244502087685</c:v>
                </c:pt>
                <c:pt idx="813">
                  <c:v>-10.553880539013644</c:v>
                </c:pt>
                <c:pt idx="814">
                  <c:v>-10.567516592342788</c:v>
                </c:pt>
                <c:pt idx="815">
                  <c:v>-10.581152662074812</c:v>
                </c:pt>
                <c:pt idx="816">
                  <c:v>-10.594788748209412</c:v>
                </c:pt>
                <c:pt idx="817">
                  <c:v>-10.608424850746282</c:v>
                </c:pt>
                <c:pt idx="818">
                  <c:v>-10.622060969685116</c:v>
                </c:pt>
                <c:pt idx="819">
                  <c:v>-10.635697105025608</c:v>
                </c:pt>
                <c:pt idx="820">
                  <c:v>-10.649333256767454</c:v>
                </c:pt>
                <c:pt idx="821">
                  <c:v>-10.662969424910347</c:v>
                </c:pt>
                <c:pt idx="822">
                  <c:v>-10.676605609453981</c:v>
                </c:pt>
                <c:pt idx="823">
                  <c:v>-10.690241810398051</c:v>
                </c:pt>
                <c:pt idx="824">
                  <c:v>-10.703878027742252</c:v>
                </c:pt>
                <c:pt idx="825">
                  <c:v>-10.717514261486279</c:v>
                </c:pt>
                <c:pt idx="826">
                  <c:v>-10.731150511629826</c:v>
                </c:pt>
                <c:pt idx="827">
                  <c:v>-10.744786778172587</c:v>
                </c:pt>
                <c:pt idx="828">
                  <c:v>-10.758423061114257</c:v>
                </c:pt>
                <c:pt idx="829">
                  <c:v>-10.772059360454531</c:v>
                </c:pt>
                <c:pt idx="830">
                  <c:v>-10.785695676193102</c:v>
                </c:pt>
                <c:pt idx="831">
                  <c:v>-10.799332008329666</c:v>
                </c:pt>
                <c:pt idx="832">
                  <c:v>-10.812968356863916</c:v>
                </c:pt>
                <c:pt idx="833">
                  <c:v>-10.826604721795547</c:v>
                </c:pt>
                <c:pt idx="834">
                  <c:v>-10.840241103124255</c:v>
                </c:pt>
                <c:pt idx="835">
                  <c:v>-10.853877500849732</c:v>
                </c:pt>
                <c:pt idx="836">
                  <c:v>-10.867513914971674</c:v>
                </c:pt>
                <c:pt idx="837">
                  <c:v>-10.881150345489777</c:v>
                </c:pt>
                <c:pt idx="838">
                  <c:v>-10.894786792403734</c:v>
                </c:pt>
                <c:pt idx="839">
                  <c:v>-10.908423255713238</c:v>
                </c:pt>
                <c:pt idx="840">
                  <c:v>-10.922059735417985</c:v>
                </c:pt>
                <c:pt idx="841">
                  <c:v>-10.935696231517671</c:v>
                </c:pt>
                <c:pt idx="842">
                  <c:v>-10.949332744011988</c:v>
                </c:pt>
                <c:pt idx="843">
                  <c:v>-10.962969272900631</c:v>
                </c:pt>
                <c:pt idx="844">
                  <c:v>-10.976605818183296</c:v>
                </c:pt>
                <c:pt idx="845">
                  <c:v>-10.990242379859676</c:v>
                </c:pt>
                <c:pt idx="846">
                  <c:v>-11.003878957929468</c:v>
                </c:pt>
                <c:pt idx="847">
                  <c:v>-11.017515552392362</c:v>
                </c:pt>
                <c:pt idx="848">
                  <c:v>-11.031152163248057</c:v>
                </c:pt>
                <c:pt idx="849">
                  <c:v>-11.044788790496247</c:v>
                </c:pt>
                <c:pt idx="850">
                  <c:v>-11.058425434136623</c:v>
                </c:pt>
                <c:pt idx="851">
                  <c:v>-11.072062094168883</c:v>
                </c:pt>
                <c:pt idx="852">
                  <c:v>-11.085698770592721</c:v>
                </c:pt>
                <c:pt idx="853">
                  <c:v>-11.099335463407831</c:v>
                </c:pt>
                <c:pt idx="854">
                  <c:v>-11.112972172613906</c:v>
                </c:pt>
                <c:pt idx="855">
                  <c:v>-11.126608898210643</c:v>
                </c:pt>
                <c:pt idx="856">
                  <c:v>-11.140245640197735</c:v>
                </c:pt>
                <c:pt idx="857">
                  <c:v>-11.153882398574879</c:v>
                </c:pt>
                <c:pt idx="858">
                  <c:v>-11.167519173341768</c:v>
                </c:pt>
                <c:pt idx="859">
                  <c:v>-11.181155964498096</c:v>
                </c:pt>
                <c:pt idx="860">
                  <c:v>-11.194792772043558</c:v>
                </c:pt>
                <c:pt idx="861">
                  <c:v>-11.208429595977847</c:v>
                </c:pt>
                <c:pt idx="862">
                  <c:v>-11.222066436300661</c:v>
                </c:pt>
                <c:pt idx="863">
                  <c:v>-11.235703293011692</c:v>
                </c:pt>
                <c:pt idx="864">
                  <c:v>-11.249340166110636</c:v>
                </c:pt>
                <c:pt idx="865">
                  <c:v>-11.262977055597187</c:v>
                </c:pt>
                <c:pt idx="866">
                  <c:v>-11.276613961471039</c:v>
                </c:pt>
                <c:pt idx="867">
                  <c:v>-11.290250883731888</c:v>
                </c:pt>
                <c:pt idx="868">
                  <c:v>-11.303887822379426</c:v>
                </c:pt>
                <c:pt idx="869">
                  <c:v>-11.31752477741335</c:v>
                </c:pt>
                <c:pt idx="870">
                  <c:v>-11.331161748833354</c:v>
                </c:pt>
                <c:pt idx="871">
                  <c:v>-11.344798736639133</c:v>
                </c:pt>
                <c:pt idx="872">
                  <c:v>-11.35843574083038</c:v>
                </c:pt>
                <c:pt idx="873">
                  <c:v>-11.372072761406793</c:v>
                </c:pt>
                <c:pt idx="874">
                  <c:v>-11.385709798368064</c:v>
                </c:pt>
                <c:pt idx="875">
                  <c:v>-11.399346851713887</c:v>
                </c:pt>
                <c:pt idx="876">
                  <c:v>-11.412983921443958</c:v>
                </c:pt>
                <c:pt idx="877">
                  <c:v>-11.426621007557971</c:v>
                </c:pt>
                <c:pt idx="878">
                  <c:v>-11.440258110055622</c:v>
                </c:pt>
                <c:pt idx="879">
                  <c:v>-11.453895228936604</c:v>
                </c:pt>
                <c:pt idx="880">
                  <c:v>-11.467532364200611</c:v>
                </c:pt>
                <c:pt idx="881">
                  <c:v>-11.481169515847339</c:v>
                </c:pt>
                <c:pt idx="882">
                  <c:v>-11.494806683876483</c:v>
                </c:pt>
                <c:pt idx="883">
                  <c:v>-11.508443868287737</c:v>
                </c:pt>
                <c:pt idx="884">
                  <c:v>-11.522081069080796</c:v>
                </c:pt>
                <c:pt idx="885">
                  <c:v>-11.535718286255355</c:v>
                </c:pt>
                <c:pt idx="886">
                  <c:v>-11.549355519811106</c:v>
                </c:pt>
                <c:pt idx="887">
                  <c:v>-11.562992769747748</c:v>
                </c:pt>
                <c:pt idx="888">
                  <c:v>-11.576630036064971</c:v>
                </c:pt>
                <c:pt idx="889">
                  <c:v>-11.590267318762473</c:v>
                </c:pt>
                <c:pt idx="890">
                  <c:v>-11.603904617839948</c:v>
                </c:pt>
                <c:pt idx="891">
                  <c:v>-11.61754193329709</c:v>
                </c:pt>
                <c:pt idx="892">
                  <c:v>-11.631179265133595</c:v>
                </c:pt>
                <c:pt idx="893">
                  <c:v>-11.644816613349155</c:v>
                </c:pt>
                <c:pt idx="894">
                  <c:v>-11.658453977943466</c:v>
                </c:pt>
                <c:pt idx="895">
                  <c:v>-11.672091358916223</c:v>
                </c:pt>
                <c:pt idx="896">
                  <c:v>-11.685728756267121</c:v>
                </c:pt>
                <c:pt idx="897">
                  <c:v>-11.699366169995855</c:v>
                </c:pt>
                <c:pt idx="898">
                  <c:v>-11.713003600102118</c:v>
                </c:pt>
                <c:pt idx="899">
                  <c:v>-11.726641046585605</c:v>
                </c:pt>
                <c:pt idx="900">
                  <c:v>-11.740278509446012</c:v>
                </c:pt>
                <c:pt idx="901">
                  <c:v>-11.753915988683033</c:v>
                </c:pt>
                <c:pt idx="902">
                  <c:v>-11.767553484296362</c:v>
                </c:pt>
                <c:pt idx="903">
                  <c:v>-11.781190996285696</c:v>
                </c:pt>
                <c:pt idx="904">
                  <c:v>-11.794828524650727</c:v>
                </c:pt>
                <c:pt idx="905">
                  <c:v>-11.808466069391152</c:v>
                </c:pt>
                <c:pt idx="906">
                  <c:v>-11.822103630506662</c:v>
                </c:pt>
                <c:pt idx="907">
                  <c:v>-11.835741207996955</c:v>
                </c:pt>
                <c:pt idx="908">
                  <c:v>-11.849378801861725</c:v>
                </c:pt>
                <c:pt idx="909">
                  <c:v>-11.863016412100666</c:v>
                </c:pt>
                <c:pt idx="910">
                  <c:v>-11.876654038713474</c:v>
                </c:pt>
                <c:pt idx="911">
                  <c:v>-11.890291681699843</c:v>
                </c:pt>
                <c:pt idx="912">
                  <c:v>-11.903929341059467</c:v>
                </c:pt>
                <c:pt idx="913">
                  <c:v>-11.917567016792042</c:v>
                </c:pt>
                <c:pt idx="914">
                  <c:v>-11.931204708897262</c:v>
                </c:pt>
                <c:pt idx="915">
                  <c:v>-11.944842417374822</c:v>
                </c:pt>
                <c:pt idx="916">
                  <c:v>-11.958480142224417</c:v>
                </c:pt>
                <c:pt idx="917">
                  <c:v>-11.97211788344574</c:v>
                </c:pt>
                <c:pt idx="918">
                  <c:v>-11.985755641038487</c:v>
                </c:pt>
                <c:pt idx="919">
                  <c:v>-11.999393415002354</c:v>
                </c:pt>
                <c:pt idx="920">
                  <c:v>-12.013031205337034</c:v>
                </c:pt>
                <c:pt idx="921">
                  <c:v>-12.026669012042221</c:v>
                </c:pt>
                <c:pt idx="922">
                  <c:v>-12.040306835117612</c:v>
                </c:pt>
                <c:pt idx="923">
                  <c:v>-12.053944674562899</c:v>
                </c:pt>
                <c:pt idx="924">
                  <c:v>-12.067582530377781</c:v>
                </c:pt>
                <c:pt idx="925">
                  <c:v>-12.081220402561948</c:v>
                </c:pt>
                <c:pt idx="926">
                  <c:v>-12.094858291115099</c:v>
                </c:pt>
                <c:pt idx="927">
                  <c:v>-12.108496196036924</c:v>
                </c:pt>
                <c:pt idx="928">
                  <c:v>-12.122134117327121</c:v>
                </c:pt>
                <c:pt idx="929">
                  <c:v>-12.135772054985384</c:v>
                </c:pt>
                <c:pt idx="930">
                  <c:v>-12.14941000901141</c:v>
                </c:pt>
                <c:pt idx="931">
                  <c:v>-12.16304797940489</c:v>
                </c:pt>
                <c:pt idx="932">
                  <c:v>-12.176685966165522</c:v>
                </c:pt>
                <c:pt idx="933">
                  <c:v>-12.190323969292997</c:v>
                </c:pt>
                <c:pt idx="934">
                  <c:v>-12.203961988787013</c:v>
                </c:pt>
                <c:pt idx="935">
                  <c:v>-12.217600024647263</c:v>
                </c:pt>
                <c:pt idx="936">
                  <c:v>-12.231238076873444</c:v>
                </c:pt>
                <c:pt idx="937">
                  <c:v>-12.244876145465248</c:v>
                </c:pt>
                <c:pt idx="938">
                  <c:v>-12.258514230422373</c:v>
                </c:pt>
                <c:pt idx="939">
                  <c:v>-12.272152331744511</c:v>
                </c:pt>
                <c:pt idx="940">
                  <c:v>-12.285790449431358</c:v>
                </c:pt>
                <c:pt idx="941">
                  <c:v>-12.299428583482609</c:v>
                </c:pt>
                <c:pt idx="942">
                  <c:v>-12.313066733897957</c:v>
                </c:pt>
                <c:pt idx="943">
                  <c:v>-12.326704900677099</c:v>
                </c:pt>
                <c:pt idx="944">
                  <c:v>-12.340343083819727</c:v>
                </c:pt>
                <c:pt idx="945">
                  <c:v>-12.353981283325538</c:v>
                </c:pt>
                <c:pt idx="946">
                  <c:v>-12.367619499194227</c:v>
                </c:pt>
                <c:pt idx="947">
                  <c:v>-12.381257731425487</c:v>
                </c:pt>
                <c:pt idx="948">
                  <c:v>-12.394895980019015</c:v>
                </c:pt>
                <c:pt idx="949">
                  <c:v>-12.408534244974506</c:v>
                </c:pt>
                <c:pt idx="950">
                  <c:v>-12.422172526291652</c:v>
                </c:pt>
                <c:pt idx="951">
                  <c:v>-12.435810823970149</c:v>
                </c:pt>
                <c:pt idx="952">
                  <c:v>-12.449449138009694</c:v>
                </c:pt>
                <c:pt idx="953">
                  <c:v>-12.463087468409979</c:v>
                </c:pt>
                <c:pt idx="954">
                  <c:v>-12.476725815170701</c:v>
                </c:pt>
                <c:pt idx="955">
                  <c:v>-12.490364178291554</c:v>
                </c:pt>
                <c:pt idx="956">
                  <c:v>-12.504002557772232</c:v>
                </c:pt>
                <c:pt idx="957">
                  <c:v>-12.51764095361243</c:v>
                </c:pt>
                <c:pt idx="958">
                  <c:v>-12.531279365811843</c:v>
                </c:pt>
                <c:pt idx="959">
                  <c:v>-12.544917794370166</c:v>
                </c:pt>
                <c:pt idx="960">
                  <c:v>-12.558556239287094</c:v>
                </c:pt>
                <c:pt idx="961">
                  <c:v>-12.572194700562322</c:v>
                </c:pt>
                <c:pt idx="962">
                  <c:v>-12.585833178195545</c:v>
                </c:pt>
                <c:pt idx="963">
                  <c:v>-12.599471672186457</c:v>
                </c:pt>
                <c:pt idx="964">
                  <c:v>-12.613110182534752</c:v>
                </c:pt>
                <c:pt idx="965">
                  <c:v>-12.626748709240127</c:v>
                </c:pt>
                <c:pt idx="966">
                  <c:v>-12.640387252302276</c:v>
                </c:pt>
                <c:pt idx="967">
                  <c:v>-12.654025811720894</c:v>
                </c:pt>
                <c:pt idx="968">
                  <c:v>-12.667664387495675</c:v>
                </c:pt>
                <c:pt idx="969">
                  <c:v>-12.681302979626315</c:v>
                </c:pt>
                <c:pt idx="970">
                  <c:v>-12.694941588112508</c:v>
                </c:pt>
                <c:pt idx="971">
                  <c:v>-12.708580212953949</c:v>
                </c:pt>
                <c:pt idx="972">
                  <c:v>-12.722218854150334</c:v>
                </c:pt>
                <c:pt idx="973">
                  <c:v>-12.735857511701356</c:v>
                </c:pt>
                <c:pt idx="974">
                  <c:v>-12.749496185606711</c:v>
                </c:pt>
                <c:pt idx="975">
                  <c:v>-12.763134875866093</c:v>
                </c:pt>
                <c:pt idx="976">
                  <c:v>-12.776773582479199</c:v>
                </c:pt>
                <c:pt idx="977">
                  <c:v>-12.790412305445722</c:v>
                </c:pt>
                <c:pt idx="978">
                  <c:v>-12.804051044765357</c:v>
                </c:pt>
                <c:pt idx="979">
                  <c:v>-12.817689800437799</c:v>
                </c:pt>
                <c:pt idx="980">
                  <c:v>-12.831328572462745</c:v>
                </c:pt>
                <c:pt idx="981">
                  <c:v>-12.844967360839886</c:v>
                </c:pt>
                <c:pt idx="982">
                  <c:v>-12.85860616556892</c:v>
                </c:pt>
                <c:pt idx="983">
                  <c:v>-12.872244986649541</c:v>
                </c:pt>
                <c:pt idx="984">
                  <c:v>-12.885883824081443</c:v>
                </c:pt>
                <c:pt idx="985">
                  <c:v>-12.899522677864322</c:v>
                </c:pt>
                <c:pt idx="986">
                  <c:v>-12.913161547997873</c:v>
                </c:pt>
                <c:pt idx="987">
                  <c:v>-12.926800434481791</c:v>
                </c:pt>
                <c:pt idx="988">
                  <c:v>-12.94043933731577</c:v>
                </c:pt>
                <c:pt idx="989">
                  <c:v>-12.954078256499503</c:v>
                </c:pt>
                <c:pt idx="990">
                  <c:v>-12.967717192032689</c:v>
                </c:pt>
                <c:pt idx="991">
                  <c:v>-12.98135614391502</c:v>
                </c:pt>
                <c:pt idx="992">
                  <c:v>-12.994995112146194</c:v>
                </c:pt>
                <c:pt idx="993">
                  <c:v>-13.008634096725903</c:v>
                </c:pt>
                <c:pt idx="994">
                  <c:v>-13.022273097653843</c:v>
                </c:pt>
                <c:pt idx="995">
                  <c:v>-13.035912114929708</c:v>
                </c:pt>
                <c:pt idx="996">
                  <c:v>-13.049551148553194</c:v>
                </c:pt>
                <c:pt idx="997">
                  <c:v>-13.063190198523996</c:v>
                </c:pt>
                <c:pt idx="998">
                  <c:v>-13.076829264841809</c:v>
                </c:pt>
                <c:pt idx="999">
                  <c:v>-13.090468347506327</c:v>
                </c:pt>
                <c:pt idx="1000">
                  <c:v>-13.104107446517245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0-41C6-97FC-918778B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9072"/>
        <c:axId val="149620992"/>
      </c:scatterChart>
      <c:valAx>
        <c:axId val="149619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20992"/>
        <c:crosses val="autoZero"/>
        <c:crossBetween val="midCat"/>
      </c:valAx>
      <c:valAx>
        <c:axId val="149620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00654768153980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19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6169712276531"/>
          <c:y val="0.4888892388451444"/>
          <c:w val="0.13679257663546773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Pandora (Pro24-6G BS)</c:v>
            </c:pt>
          </c:strCache>
        </c:strRef>
      </c:tx>
      <c:layout>
        <c:manualLayout>
          <c:xMode val="edge"/>
          <c:yMode val="edge"/>
          <c:x val="0.47127077646762688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33E-2"/>
          <c:y val="5.5426586068345711E-2"/>
          <c:w val="0.88973722710617964"/>
          <c:h val="0.8239017987134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0.62</c:v>
                </c:pt>
                <c:pt idx="4">
                  <c:v>0.66</c:v>
                </c:pt>
                <c:pt idx="5">
                  <c:v>0.68</c:v>
                </c:pt>
                <c:pt idx="6">
                  <c:v>0.8</c:v>
                </c:pt>
                <c:pt idx="7">
                  <c:v>0.84</c:v>
                </c:pt>
                <c:pt idx="8">
                  <c:v>0.88</c:v>
                </c:pt>
                <c:pt idx="9">
                  <c:v>0.92</c:v>
                </c:pt>
                <c:pt idx="10">
                  <c:v>0.96</c:v>
                </c:pt>
                <c:pt idx="11">
                  <c:v>1</c:v>
                </c:pt>
                <c:pt idx="12">
                  <c:v>1.08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210</c:v>
                </c:pt>
                <c:pt idx="3">
                  <c:v>160</c:v>
                </c:pt>
                <c:pt idx="4">
                  <c:v>150</c:v>
                </c:pt>
                <c:pt idx="5">
                  <c:v>142</c:v>
                </c:pt>
                <c:pt idx="6">
                  <c:v>62</c:v>
                </c:pt>
                <c:pt idx="7">
                  <c:v>48</c:v>
                </c:pt>
                <c:pt idx="8">
                  <c:v>34</c:v>
                </c:pt>
                <c:pt idx="9">
                  <c:v>24</c:v>
                </c:pt>
                <c:pt idx="10">
                  <c:v>15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D3E-A59C-8AF2F5D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8480"/>
        <c:axId val="193451520"/>
      </c:scatterChart>
      <c:valAx>
        <c:axId val="19342848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51520"/>
        <c:crosses val="autoZero"/>
        <c:crossBetween val="midCat"/>
      </c:valAx>
      <c:valAx>
        <c:axId val="1934515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2848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75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1000"/>
</file>

<file path=xl/ctrlProps/ctrlProp12.xml><?xml version="1.0" encoding="utf-8"?>
<formControlPr xmlns="http://schemas.microsoft.com/office/spreadsheetml/2009/9/main" objectType="Spin" dx="15" fmlaLink="$C$11" inc="100" max="30000" noThreeD="1" page="10" val="4000"/>
</file>

<file path=xl/ctrlProps/ctrlProp13.xml><?xml version="1.0" encoding="utf-8"?>
<formControlPr xmlns="http://schemas.microsoft.com/office/spreadsheetml/2009/9/main" objectType="Spin" dx="15" fmlaLink="$C$11" inc="100" max="30000" noThreeD="1" page="10" val="4000"/>
</file>

<file path=xl/ctrlProps/ctrlProp14.xml><?xml version="1.0" encoding="utf-8"?>
<formControlPr xmlns="http://schemas.microsoft.com/office/spreadsheetml/2009/9/main" objectType="Spin" dx="15" fmlaLink="Stabilito!C11" inc="100" max="30000" noThreeD="1" page="10" val="4000"/>
</file>

<file path=xl/ctrlProps/ctrlProp15.xml><?xml version="1.0" encoding="utf-8"?>
<formControlPr xmlns="http://schemas.microsoft.com/office/spreadsheetml/2009/9/main" objectType="Spin" dx="15" fmlaLink="$B$43" inc="50" max="30000" noThreeD="1" page="10" val="200"/>
</file>

<file path=xl/ctrlProps/ctrlProp16.xml><?xml version="1.0" encoding="utf-8"?>
<formControlPr xmlns="http://schemas.microsoft.com/office/spreadsheetml/2009/9/main" objectType="Spin" dx="15" fmlaLink="$B$45" inc="50" max="30000" noThreeD="1" page="10" val="250"/>
</file>

<file path=xl/ctrlProps/ctrlProp17.xml><?xml version="1.0" encoding="utf-8"?>
<formControlPr xmlns="http://schemas.microsoft.com/office/spreadsheetml/2009/9/main" objectType="Spin" dx="15" fmlaLink="$B$51" inc="50" max="30000" noThreeD="1" page="10" val="4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4000"/>
</file>

<file path=xl/ctrlProps/ctrlProp2.xml><?xml version="1.0" encoding="utf-8"?>
<formControlPr xmlns="http://schemas.microsoft.com/office/spreadsheetml/2009/9/main" objectType="Spin" dx="15" fmlaLink="$C$11" inc="100" max="30000" noThreeD="1" page="10" val="4000"/>
</file>

<file path=xl/ctrlProps/ctrlProp20.xml><?xml version="1.0" encoding="utf-8"?>
<formControlPr xmlns="http://schemas.microsoft.com/office/spreadsheetml/2009/9/main" objectType="Spin" dx="15" fmlaLink="Stabilito!C11" inc="100" max="30000" noThreeD="1" page="10" val="4000"/>
</file>

<file path=xl/ctrlProps/ctrlProp3.xml><?xml version="1.0" encoding="utf-8"?>
<formControlPr xmlns="http://schemas.microsoft.com/office/spreadsheetml/2009/9/main" objectType="Spin" dx="15" fmlaLink="$C$12" inc="50" max="30000" noThreeD="1" page="10" val="52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170"/>
</file>

<file path=xl/ctrlProps/ctrlProp6.xml><?xml version="1.0" encoding="utf-8"?>
<formControlPr xmlns="http://schemas.microsoft.com/office/spreadsheetml/2009/9/main" objectType="Spin" dx="15" fmlaLink="$C$28" inc="10" max="30000" noThreeD="1" page="10" val="80"/>
</file>

<file path=xl/ctrlProps/ctrlProp7.xml><?xml version="1.0" encoding="utf-8"?>
<formControlPr xmlns="http://schemas.microsoft.com/office/spreadsheetml/2009/9/main" objectType="Spin" dx="15" fmlaLink="$C$29" inc="10" max="30000" noThreeD="1" page="10" val="140"/>
</file>

<file path=xl/ctrlProps/ctrlProp8.xml><?xml version="1.0" encoding="utf-8"?>
<formControlPr xmlns="http://schemas.microsoft.com/office/spreadsheetml/2009/9/main" objectType="Spin" dx="15" fmlaLink="$C$30" inc="10" max="30000" noThreeD="1" page="10" val="110"/>
</file>

<file path=xl/ctrlProps/ctrlProp9.xml><?xml version="1.0" encoding="utf-8"?>
<formControlPr xmlns="http://schemas.microsoft.com/office/spreadsheetml/2009/9/main" objectType="Spin" dx="15" fmlaLink="$C$31" max="30000" noThreeD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5" Type="http://schemas.openxmlformats.org/officeDocument/2006/relationships/image" Target="../media/image43.emf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488950</xdr:colOff>
      <xdr:row>1</xdr:row>
      <xdr:rowOff>139700</xdr:rowOff>
    </xdr:to>
    <xdr:grpSp>
      <xdr:nvGrpSpPr>
        <xdr:cNvPr id="5096993" name="Groupe 1">
          <a:extLst>
            <a:ext uri="{FF2B5EF4-FFF2-40B4-BE49-F238E27FC236}">
              <a16:creationId xmlns:a16="http://schemas.microsoft.com/office/drawing/2014/main" id="{00000000-0008-0000-0000-000021C64D00}"/>
            </a:ext>
          </a:extLst>
        </xdr:cNvPr>
        <xdr:cNvGrpSpPr>
          <a:grpSpLocks/>
        </xdr:cNvGrpSpPr>
      </xdr:nvGrpSpPr>
      <xdr:grpSpPr bwMode="auto">
        <a:xfrm>
          <a:off x="7369503" y="189624"/>
          <a:ext cx="463550" cy="114300"/>
          <a:chOff x="7067550" y="190500"/>
          <a:chExt cx="438150" cy="114300"/>
        </a:xfrm>
      </xdr:grpSpPr>
      <xdr:pic>
        <xdr:nvPicPr>
          <xdr:cNvPr id="5096999" name="Image 1">
            <a:extLst>
              <a:ext uri="{FF2B5EF4-FFF2-40B4-BE49-F238E27FC236}">
                <a16:creationId xmlns:a16="http://schemas.microsoft.com/office/drawing/2014/main" id="{00000000-0008-0000-0000-000027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097000" name="Image 2">
            <a:extLst>
              <a:ext uri="{FF2B5EF4-FFF2-40B4-BE49-F238E27FC236}">
                <a16:creationId xmlns:a16="http://schemas.microsoft.com/office/drawing/2014/main" id="{00000000-0008-0000-0000-000028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16566</xdr:colOff>
      <xdr:row>1</xdr:row>
      <xdr:rowOff>1</xdr:rowOff>
    </xdr:from>
    <xdr:to>
      <xdr:col>10</xdr:col>
      <xdr:colOff>0</xdr:colOff>
      <xdr:row>24</xdr:row>
      <xdr:rowOff>24848</xdr:rowOff>
    </xdr:to>
    <xdr:graphicFrame macro="">
      <xdr:nvGraphicFramePr>
        <xdr:cNvPr id="5096994" name="Graphique 9">
          <a:extLst>
            <a:ext uri="{FF2B5EF4-FFF2-40B4-BE49-F238E27FC236}">
              <a16:creationId xmlns:a16="http://schemas.microsoft.com/office/drawing/2014/main" id="{00000000-0008-0000-0000-000022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6995" name="Graphique 19">
          <a:extLst>
            <a:ext uri="{FF2B5EF4-FFF2-40B4-BE49-F238E27FC236}">
              <a16:creationId xmlns:a16="http://schemas.microsoft.com/office/drawing/2014/main" id="{00000000-0008-0000-0000-000023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1722</xdr:rowOff>
    </xdr:to>
    <xdr:pic>
      <xdr:nvPicPr>
        <xdr:cNvPr id="5096996" name="Picture 8" descr="logoplasci">
          <a:extLst>
            <a:ext uri="{FF2B5EF4-FFF2-40B4-BE49-F238E27FC236}">
              <a16:creationId xmlns:a16="http://schemas.microsoft.com/office/drawing/2014/main" id="{00000000-0008-0000-0000-000024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36</xdr:row>
      <xdr:rowOff>133350</xdr:rowOff>
    </xdr:from>
    <xdr:to>
      <xdr:col>2</xdr:col>
      <xdr:colOff>850900</xdr:colOff>
      <xdr:row>48</xdr:row>
      <xdr:rowOff>41275</xdr:rowOff>
    </xdr:to>
    <xdr:pic>
      <xdr:nvPicPr>
        <xdr:cNvPr id="5096997" name="Image 1">
          <a:extLst>
            <a:ext uri="{FF2B5EF4-FFF2-40B4-BE49-F238E27FC236}">
              <a16:creationId xmlns:a16="http://schemas.microsoft.com/office/drawing/2014/main" id="{00000000-0008-0000-0000-000025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2875" y="5962650"/>
          <a:ext cx="1936750" cy="185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565150</xdr:colOff>
      <xdr:row>9</xdr:row>
      <xdr:rowOff>12700</xdr:rowOff>
    </xdr:to>
    <xdr:pic>
      <xdr:nvPicPr>
        <xdr:cNvPr id="5096998" name="Image 2">
          <a:extLst>
            <a:ext uri="{FF2B5EF4-FFF2-40B4-BE49-F238E27FC236}">
              <a16:creationId xmlns:a16="http://schemas.microsoft.com/office/drawing/2014/main" id="{00000000-0008-0000-0000-000026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810750" y="488950"/>
          <a:ext cx="2152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4779983" name="Graphique 1">
          <a:extLst>
            <a:ext uri="{FF2B5EF4-FFF2-40B4-BE49-F238E27FC236}">
              <a16:creationId xmlns:a16="http://schemas.microsoft.com/office/drawing/2014/main" id="{00000000-0008-0000-0100-0000CF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4779984" name="Graphique 2">
          <a:extLst>
            <a:ext uri="{FF2B5EF4-FFF2-40B4-BE49-F238E27FC236}">
              <a16:creationId xmlns:a16="http://schemas.microsoft.com/office/drawing/2014/main" id="{00000000-0008-0000-0100-0000D0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932</xdr:rowOff>
    </xdr:to>
    <xdr:pic>
      <xdr:nvPicPr>
        <xdr:cNvPr id="4779985" name="Picture 8" descr="logoplasci">
          <a:extLst>
            <a:ext uri="{FF2B5EF4-FFF2-40B4-BE49-F238E27FC236}">
              <a16:creationId xmlns:a16="http://schemas.microsoft.com/office/drawing/2014/main" id="{00000000-0008-0000-0100-0000D1EF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6510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139700</xdr:colOff>
      <xdr:row>38</xdr:row>
      <xdr:rowOff>120650</xdr:rowOff>
    </xdr:from>
    <xdr:to>
      <xdr:col>3</xdr:col>
      <xdr:colOff>723900</xdr:colOff>
      <xdr:row>46</xdr:row>
      <xdr:rowOff>0</xdr:rowOff>
    </xdr:to>
    <xdr:grpSp>
      <xdr:nvGrpSpPr>
        <xdr:cNvPr id="4779986" name="Groupe 1">
          <a:extLst>
            <a:ext uri="{FF2B5EF4-FFF2-40B4-BE49-F238E27FC236}">
              <a16:creationId xmlns:a16="http://schemas.microsoft.com/office/drawing/2014/main" id="{00000000-0008-0000-0100-0000D2EF4800}"/>
            </a:ext>
          </a:extLst>
        </xdr:cNvPr>
        <xdr:cNvGrpSpPr>
          <a:grpSpLocks/>
        </xdr:cNvGrpSpPr>
      </xdr:nvGrpSpPr>
      <xdr:grpSpPr bwMode="auto">
        <a:xfrm>
          <a:off x="1372347" y="6093385"/>
          <a:ext cx="1346200" cy="1134409"/>
          <a:chOff x="1362075" y="6410325"/>
          <a:chExt cx="1319468" cy="1181100"/>
        </a:xfrm>
      </xdr:grpSpPr>
      <xdr:sp macro="" textlink="">
        <xdr:nvSpPr>
          <xdr:cNvPr id="4779991" name="Line 320">
            <a:extLst>
              <a:ext uri="{FF2B5EF4-FFF2-40B4-BE49-F238E27FC236}">
                <a16:creationId xmlns:a16="http://schemas.microsoft.com/office/drawing/2014/main" id="{00000000-0008-0000-0100-0000D7EF48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4779992" name="Rectangle 314">
            <a:extLst>
              <a:ext uri="{FF2B5EF4-FFF2-40B4-BE49-F238E27FC236}">
                <a16:creationId xmlns:a16="http://schemas.microsoft.com/office/drawing/2014/main" id="{00000000-0008-0000-0100-0000D8EF48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3" name="Rectangle 315">
            <a:extLst>
              <a:ext uri="{FF2B5EF4-FFF2-40B4-BE49-F238E27FC236}">
                <a16:creationId xmlns:a16="http://schemas.microsoft.com/office/drawing/2014/main" id="{00000000-0008-0000-0100-0000D9EF48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4" name="Line 316">
            <a:extLst>
              <a:ext uri="{FF2B5EF4-FFF2-40B4-BE49-F238E27FC236}">
                <a16:creationId xmlns:a16="http://schemas.microsoft.com/office/drawing/2014/main" id="{00000000-0008-0000-0100-0000DAEF48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5" name="Line 317">
            <a:extLst>
              <a:ext uri="{FF2B5EF4-FFF2-40B4-BE49-F238E27FC236}">
                <a16:creationId xmlns:a16="http://schemas.microsoft.com/office/drawing/2014/main" id="{00000000-0008-0000-0100-0000DBEF48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6" name="Line 319">
            <a:extLst>
              <a:ext uri="{FF2B5EF4-FFF2-40B4-BE49-F238E27FC236}">
                <a16:creationId xmlns:a16="http://schemas.microsoft.com/office/drawing/2014/main" id="{00000000-0008-0000-0100-0000DCEF48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</xdr:grpSp>
    <xdr:clientData/>
  </xdr:twoCellAnchor>
  <xdr:twoCellAnchor>
    <xdr:from>
      <xdr:col>2</xdr:col>
      <xdr:colOff>260350</xdr:colOff>
      <xdr:row>49</xdr:row>
      <xdr:rowOff>19050</xdr:rowOff>
    </xdr:from>
    <xdr:to>
      <xdr:col>3</xdr:col>
      <xdr:colOff>514350</xdr:colOff>
      <xdr:row>54</xdr:row>
      <xdr:rowOff>120650</xdr:rowOff>
    </xdr:to>
    <xdr:sp macro="" textlink="">
      <xdr:nvSpPr>
        <xdr:cNvPr id="4779987" name="Oval 323">
          <a:extLst>
            <a:ext uri="{FF2B5EF4-FFF2-40B4-BE49-F238E27FC236}">
              <a16:creationId xmlns:a16="http://schemas.microsoft.com/office/drawing/2014/main" id="{00000000-0008-0000-0100-0000D3EF4800}"/>
            </a:ext>
          </a:extLst>
        </xdr:cNvPr>
        <xdr:cNvSpPr>
          <a:spLocks noChangeArrowheads="1"/>
        </xdr:cNvSpPr>
      </xdr:nvSpPr>
      <xdr:spPr bwMode="auto">
        <a:xfrm>
          <a:off x="1549400" y="7981950"/>
          <a:ext cx="1047750" cy="9271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698500</xdr:colOff>
      <xdr:row>51</xdr:row>
      <xdr:rowOff>57150</xdr:rowOff>
    </xdr:from>
    <xdr:to>
      <xdr:col>3</xdr:col>
      <xdr:colOff>88900</xdr:colOff>
      <xdr:row>52</xdr:row>
      <xdr:rowOff>76200</xdr:rowOff>
    </xdr:to>
    <xdr:sp macro="" textlink="">
      <xdr:nvSpPr>
        <xdr:cNvPr id="4779988" name="Oval 323">
          <a:extLst>
            <a:ext uri="{FF2B5EF4-FFF2-40B4-BE49-F238E27FC236}">
              <a16:creationId xmlns:a16="http://schemas.microsoft.com/office/drawing/2014/main" id="{00000000-0008-0000-0100-0000D4EF4800}"/>
            </a:ext>
          </a:extLst>
        </xdr:cNvPr>
        <xdr:cNvSpPr>
          <a:spLocks noChangeArrowheads="1"/>
        </xdr:cNvSpPr>
      </xdr:nvSpPr>
      <xdr:spPr bwMode="auto">
        <a:xfrm>
          <a:off x="1987550" y="8350250"/>
          <a:ext cx="184150" cy="184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19050</xdr:rowOff>
    </xdr:from>
    <xdr:to>
      <xdr:col>3</xdr:col>
      <xdr:colOff>0</xdr:colOff>
      <xdr:row>51</xdr:row>
      <xdr:rowOff>146050</xdr:rowOff>
    </xdr:to>
    <xdr:sp macro="" textlink="">
      <xdr:nvSpPr>
        <xdr:cNvPr id="4779989" name="Line 324">
          <a:extLst>
            <a:ext uri="{FF2B5EF4-FFF2-40B4-BE49-F238E27FC236}">
              <a16:creationId xmlns:a16="http://schemas.microsoft.com/office/drawing/2014/main" id="{00000000-0008-0000-0100-0000D5EF4800}"/>
            </a:ext>
          </a:extLst>
        </xdr:cNvPr>
        <xdr:cNvSpPr>
          <a:spLocks noChangeShapeType="1"/>
        </xdr:cNvSpPr>
      </xdr:nvSpPr>
      <xdr:spPr bwMode="auto">
        <a:xfrm>
          <a:off x="2082800" y="7981950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51</xdr:row>
      <xdr:rowOff>146050</xdr:rowOff>
    </xdr:from>
    <xdr:to>
      <xdr:col>3</xdr:col>
      <xdr:colOff>0</xdr:colOff>
      <xdr:row>52</xdr:row>
      <xdr:rowOff>88900</xdr:rowOff>
    </xdr:to>
    <xdr:sp macro="" textlink="">
      <xdr:nvSpPr>
        <xdr:cNvPr id="4779990" name="Line 324">
          <a:extLst>
            <a:ext uri="{FF2B5EF4-FFF2-40B4-BE49-F238E27FC236}">
              <a16:creationId xmlns:a16="http://schemas.microsoft.com/office/drawing/2014/main" id="{00000000-0008-0000-0100-0000D6EF4800}"/>
            </a:ext>
          </a:extLst>
        </xdr:cNvPr>
        <xdr:cNvSpPr>
          <a:spLocks noChangeShapeType="1"/>
        </xdr:cNvSpPr>
      </xdr:nvSpPr>
      <xdr:spPr bwMode="auto">
        <a:xfrm flipH="1">
          <a:off x="2082800" y="8439150"/>
          <a:ext cx="0" cy="107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sp macro="" textlink="">
      <xdr:nvSpPr>
        <xdr:cNvPr id="1425294" name="Object 1934" hidden="1">
          <a:extLst>
            <a:ext uri="{63B3BB69-23CF-44E3-9099-C40C66FF867C}">
              <a14:compatExt xmlns:a14="http://schemas.microsoft.com/office/drawing/2010/main" spid="_x0000_s1425294"/>
            </a:ext>
            <a:ext uri="{FF2B5EF4-FFF2-40B4-BE49-F238E27FC236}">
              <a16:creationId xmlns:a16="http://schemas.microsoft.com/office/drawing/2014/main" id="{00000000-0008-0000-0100-00008EBF15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pic>
      <xdr:nvPicPr>
        <xdr:cNvPr id="2" name="Picture 19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35225"/>
          <a:ext cx="264795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10</xdr:col>
      <xdr:colOff>622300</xdr:colOff>
      <xdr:row>19</xdr:row>
      <xdr:rowOff>0</xdr:rowOff>
    </xdr:to>
    <xdr:graphicFrame macro="">
      <xdr:nvGraphicFramePr>
        <xdr:cNvPr id="5105813" name="Graphique 1">
          <a:extLst>
            <a:ext uri="{FF2B5EF4-FFF2-40B4-BE49-F238E27FC236}">
              <a16:creationId xmlns:a16="http://schemas.microsoft.com/office/drawing/2014/main" id="{00000000-0008-0000-0200-000095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37</xdr:row>
      <xdr:rowOff>0</xdr:rowOff>
    </xdr:from>
    <xdr:to>
      <xdr:col>10</xdr:col>
      <xdr:colOff>622300</xdr:colOff>
      <xdr:row>55</xdr:row>
      <xdr:rowOff>0</xdr:rowOff>
    </xdr:to>
    <xdr:graphicFrame macro="">
      <xdr:nvGraphicFramePr>
        <xdr:cNvPr id="5105814" name="Graphique 2">
          <a:extLst>
            <a:ext uri="{FF2B5EF4-FFF2-40B4-BE49-F238E27FC236}">
              <a16:creationId xmlns:a16="http://schemas.microsoft.com/office/drawing/2014/main" id="{00000000-0008-0000-0200-000096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19</xdr:row>
      <xdr:rowOff>0</xdr:rowOff>
    </xdr:from>
    <xdr:to>
      <xdr:col>10</xdr:col>
      <xdr:colOff>622300</xdr:colOff>
      <xdr:row>37</xdr:row>
      <xdr:rowOff>0</xdr:rowOff>
    </xdr:to>
    <xdr:graphicFrame macro="">
      <xdr:nvGraphicFramePr>
        <xdr:cNvPr id="5105815" name="Graphique 3">
          <a:extLst>
            <a:ext uri="{FF2B5EF4-FFF2-40B4-BE49-F238E27FC236}">
              <a16:creationId xmlns:a16="http://schemas.microsoft.com/office/drawing/2014/main" id="{00000000-0008-0000-0200-000097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55</xdr:row>
      <xdr:rowOff>0</xdr:rowOff>
    </xdr:from>
    <xdr:to>
      <xdr:col>10</xdr:col>
      <xdr:colOff>622300</xdr:colOff>
      <xdr:row>73</xdr:row>
      <xdr:rowOff>0</xdr:rowOff>
    </xdr:to>
    <xdr:graphicFrame macro="">
      <xdr:nvGraphicFramePr>
        <xdr:cNvPr id="5105816" name="Graphique 4">
          <a:extLst>
            <a:ext uri="{FF2B5EF4-FFF2-40B4-BE49-F238E27FC236}">
              <a16:creationId xmlns:a16="http://schemas.microsoft.com/office/drawing/2014/main" id="{00000000-0008-0000-0200-000098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44450</xdr:rowOff>
    </xdr:from>
    <xdr:to>
      <xdr:col>7</xdr:col>
      <xdr:colOff>215900</xdr:colOff>
      <xdr:row>19</xdr:row>
      <xdr:rowOff>133350</xdr:rowOff>
    </xdr:to>
    <xdr:graphicFrame macro="">
      <xdr:nvGraphicFramePr>
        <xdr:cNvPr id="5110822" name="Graphique 1">
          <a:extLst>
            <a:ext uri="{FF2B5EF4-FFF2-40B4-BE49-F238E27FC236}">
              <a16:creationId xmlns:a16="http://schemas.microsoft.com/office/drawing/2014/main" id="{00000000-0008-0000-0300-000026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1008</xdr:row>
      <xdr:rowOff>146050</xdr:rowOff>
    </xdr:from>
    <xdr:to>
      <xdr:col>16</xdr:col>
      <xdr:colOff>152400</xdr:colOff>
      <xdr:row>1010</xdr:row>
      <xdr:rowOff>82550</xdr:rowOff>
    </xdr:to>
    <xdr:sp macro="" textlink="">
      <xdr:nvSpPr>
        <xdr:cNvPr id="3393" name="Line 60"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SpPr>
          <a:spLocks noChangeShapeType="1"/>
        </xdr:cNvSpPr>
      </xdr:nvSpPr>
      <xdr:spPr bwMode="auto">
        <a:xfrm flipH="1">
          <a:off x="5759450" y="160172400"/>
          <a:ext cx="1098550" cy="25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1011</xdr:row>
      <xdr:rowOff>95250</xdr:rowOff>
    </xdr:from>
    <xdr:to>
      <xdr:col>17</xdr:col>
      <xdr:colOff>349250</xdr:colOff>
      <xdr:row>1013</xdr:row>
      <xdr:rowOff>139700</xdr:rowOff>
    </xdr:to>
    <xdr:sp macro="" textlink="">
      <xdr:nvSpPr>
        <xdr:cNvPr id="3394" name="Line 71"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5978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1012</xdr:row>
      <xdr:rowOff>139700</xdr:rowOff>
    </xdr:from>
    <xdr:to>
      <xdr:col>17</xdr:col>
      <xdr:colOff>349250</xdr:colOff>
      <xdr:row>1015</xdr:row>
      <xdr:rowOff>25400</xdr:rowOff>
    </xdr:to>
    <xdr:sp macro="" textlink="">
      <xdr:nvSpPr>
        <xdr:cNvPr id="3395" name="Line 71"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8010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sp macro="" textlink="">
      <xdr:nvSpPr>
        <xdr:cNvPr id="3091" name="Object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sp macro="" textlink="">
      <xdr:nvSpPr>
        <xdr:cNvPr id="3092" name="Object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sp macro="" textlink="">
      <xdr:nvSpPr>
        <xdr:cNvPr id="3096" name="Object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sp macro="" textlink="">
      <xdr:nvSpPr>
        <xdr:cNvPr id="3112" name="Object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sp macro="" textlink="">
      <xdr:nvSpPr>
        <xdr:cNvPr id="3114" name="Object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sp macro="" textlink="">
      <xdr:nvSpPr>
        <xdr:cNvPr id="3115" name="Object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sp macro="" textlink="">
      <xdr:nvSpPr>
        <xdr:cNvPr id="3119" name="Object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sp macro="" textlink="">
      <xdr:nvSpPr>
        <xdr:cNvPr id="3120" name="Object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sp macro="" textlink="">
      <xdr:nvSpPr>
        <xdr:cNvPr id="3121" name="Object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sp macro="" textlink="">
      <xdr:nvSpPr>
        <xdr:cNvPr id="3122" name="Object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sp macro="" textlink="">
      <xdr:nvSpPr>
        <xdr:cNvPr id="3124" name="Object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sp macro="" textlink="">
      <xdr:nvSpPr>
        <xdr:cNvPr id="3125" name="Object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sp macro="" textlink="">
      <xdr:nvSpPr>
        <xdr:cNvPr id="3127" name="Object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sp macro="" textlink="">
      <xdr:nvSpPr>
        <xdr:cNvPr id="3129" name="Object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sp macro="" textlink="">
      <xdr:nvSpPr>
        <xdr:cNvPr id="3131" name="Object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sp macro="" textlink="">
      <xdr:nvSpPr>
        <xdr:cNvPr id="3134" name="Object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sp macro="" textlink="">
      <xdr:nvSpPr>
        <xdr:cNvPr id="3135" name="Object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sp macro="" textlink="">
      <xdr:nvSpPr>
        <xdr:cNvPr id="3141" name="Object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sp macro="" textlink="">
      <xdr:nvSpPr>
        <xdr:cNvPr id="3142" name="Object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sp macro="" textlink="">
      <xdr:nvSpPr>
        <xdr:cNvPr id="3157" name="Object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sp macro="" textlink="">
      <xdr:nvSpPr>
        <xdr:cNvPr id="3158" name="Object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sp macro="" textlink="">
      <xdr:nvSpPr>
        <xdr:cNvPr id="3161" name="Object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sp macro="" textlink="">
      <xdr:nvSpPr>
        <xdr:cNvPr id="3162" name="Object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sp macro="" textlink="">
      <xdr:nvSpPr>
        <xdr:cNvPr id="3167" name="Object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sp macro="" textlink="">
      <xdr:nvSpPr>
        <xdr:cNvPr id="3168" name="Object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sp macro="" textlink="">
      <xdr:nvSpPr>
        <xdr:cNvPr id="3169" name="Object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sp macro="" textlink="">
      <xdr:nvSpPr>
        <xdr:cNvPr id="3173" name="Object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sp macro="" textlink="">
      <xdr:nvSpPr>
        <xdr:cNvPr id="3174" name="Object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sp macro="" textlink="">
      <xdr:nvSpPr>
        <xdr:cNvPr id="3178" name="Object 10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sp macro="" textlink="">
      <xdr:nvSpPr>
        <xdr:cNvPr id="3188" name="Object 11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sp macro="" textlink="">
      <xdr:nvSpPr>
        <xdr:cNvPr id="3192" name="Object 12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sp macro="" textlink="">
      <xdr:nvSpPr>
        <xdr:cNvPr id="3220" name="Object 148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sp macro="" textlink="">
      <xdr:nvSpPr>
        <xdr:cNvPr id="3222" name="Object 150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sp macro="" textlink="">
      <xdr:nvSpPr>
        <xdr:cNvPr id="3223" name="Object 151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sp macro="" textlink="">
      <xdr:nvSpPr>
        <xdr:cNvPr id="3225" name="Object 153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sp macro="" textlink="">
      <xdr:nvSpPr>
        <xdr:cNvPr id="3281" name="Object 209" hidden="1">
          <a:extLst>
            <a:ext uri="{63B3BB69-23CF-44E3-9099-C40C66FF867C}">
              <a14:compatExt xmlns:a14="http://schemas.microsoft.com/office/drawing/2010/main" spid="_x0000_s3281"/>
            </a:ex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3639500"/>
          <a:ext cx="9810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954075"/>
          <a:ext cx="24288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2925125"/>
          <a:ext cx="3219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pic>
      <xdr:nvPicPr>
        <xdr:cNvPr id="5" name="Picture 4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830125"/>
          <a:ext cx="19526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pic>
      <xdr:nvPicPr>
        <xdr:cNvPr id="6" name="Picture 4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344350"/>
          <a:ext cx="21907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pic>
      <xdr:nvPicPr>
        <xdr:cNvPr id="7" name="Picture 4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592000"/>
          <a:ext cx="21717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pic>
      <xdr:nvPicPr>
        <xdr:cNvPr id="8" name="Picture 4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554025"/>
          <a:ext cx="298132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pic>
      <xdr:nvPicPr>
        <xdr:cNvPr id="9" name="Picture 4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229925"/>
          <a:ext cx="36480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pic>
      <xdr:nvPicPr>
        <xdr:cNvPr id="10" name="Picture 4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639500"/>
          <a:ext cx="4152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pic>
      <xdr:nvPicPr>
        <xdr:cNvPr id="11" name="Picture 5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991800"/>
          <a:ext cx="9334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pic>
      <xdr:nvPicPr>
        <xdr:cNvPr id="12" name="Picture 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963600"/>
          <a:ext cx="21812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pic>
      <xdr:nvPicPr>
        <xdr:cNvPr id="13" name="Picture 5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068125"/>
          <a:ext cx="1343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pic>
      <xdr:nvPicPr>
        <xdr:cNvPr id="14" name="Picture 5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753675"/>
          <a:ext cx="42386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pic>
      <xdr:nvPicPr>
        <xdr:cNvPr id="15" name="Picture 5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4049075"/>
          <a:ext cx="21240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pic>
      <xdr:nvPicPr>
        <xdr:cNvPr id="16" name="Picture 5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64896800"/>
          <a:ext cx="249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pic>
      <xdr:nvPicPr>
        <xdr:cNvPr id="17" name="Picture 6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134925"/>
          <a:ext cx="43719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pic>
      <xdr:nvPicPr>
        <xdr:cNvPr id="18" name="Picture 6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4896800"/>
          <a:ext cx="262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pic>
      <xdr:nvPicPr>
        <xdr:cNvPr id="19" name="Picture 6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172775"/>
          <a:ext cx="32766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629975"/>
          <a:ext cx="2114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pic>
      <xdr:nvPicPr>
        <xdr:cNvPr id="21" name="Picture 8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7620950"/>
          <a:ext cx="39147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pic>
      <xdr:nvPicPr>
        <xdr:cNvPr id="22" name="Picture 8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8430575"/>
          <a:ext cx="39814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pic>
      <xdr:nvPicPr>
        <xdr:cNvPr id="23" name="Picture 8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306250"/>
          <a:ext cx="10191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pic>
      <xdr:nvPicPr>
        <xdr:cNvPr id="24" name="Picture 9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3163250"/>
          <a:ext cx="679132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pic>
      <xdr:nvPicPr>
        <xdr:cNvPr id="25" name="Picture 9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868975"/>
          <a:ext cx="42291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pic>
      <xdr:nvPicPr>
        <xdr:cNvPr id="26" name="Picture 9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1678600"/>
          <a:ext cx="49053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pic>
      <xdr:nvPicPr>
        <xdr:cNvPr id="27" name="Picture 9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2488225"/>
          <a:ext cx="56864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pic>
      <xdr:nvPicPr>
        <xdr:cNvPr id="28" name="Picture 10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9249725"/>
          <a:ext cx="52101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pic>
      <xdr:nvPicPr>
        <xdr:cNvPr id="29" name="Picture 10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059350"/>
          <a:ext cx="54483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pic>
      <xdr:nvPicPr>
        <xdr:cNvPr id="30" name="Picture 10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3297850"/>
          <a:ext cx="42957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pic>
      <xdr:nvPicPr>
        <xdr:cNvPr id="31" name="Picture 11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70545125"/>
          <a:ext cx="59055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pic>
      <xdr:nvPicPr>
        <xdr:cNvPr id="32" name="Picture 120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544500"/>
          <a:ext cx="47720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pic>
      <xdr:nvPicPr>
        <xdr:cNvPr id="33" name="Picture 14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706300"/>
          <a:ext cx="24288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pic>
      <xdr:nvPicPr>
        <xdr:cNvPr id="34" name="Picture 15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201475"/>
          <a:ext cx="28670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211125"/>
          <a:ext cx="16383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pic>
      <xdr:nvPicPr>
        <xdr:cNvPr id="36" name="Picture 15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715950"/>
          <a:ext cx="23336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pic>
      <xdr:nvPicPr>
        <xdr:cNvPr id="37" name="Picture 20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69735500"/>
          <a:ext cx="7372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2604352" name="Picture 8" descr="logoplasci">
          <a:extLst>
            <a:ext uri="{FF2B5EF4-FFF2-40B4-BE49-F238E27FC236}">
              <a16:creationId xmlns:a16="http://schemas.microsoft.com/office/drawing/2014/main" id="{00000000-0008-0000-0500-000040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5100"/>
          <a:ext cx="984250" cy="63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450850</xdr:colOff>
      <xdr:row>0</xdr:row>
      <xdr:rowOff>120650</xdr:rowOff>
    </xdr:from>
    <xdr:to>
      <xdr:col>12</xdr:col>
      <xdr:colOff>450850</xdr:colOff>
      <xdr:row>17</xdr:row>
      <xdr:rowOff>25400</xdr:rowOff>
    </xdr:to>
    <xdr:graphicFrame macro="">
      <xdr:nvGraphicFramePr>
        <xdr:cNvPr id="2604353" name="Graphique 2">
          <a:extLst>
            <a:ext uri="{FF2B5EF4-FFF2-40B4-BE49-F238E27FC236}">
              <a16:creationId xmlns:a16="http://schemas.microsoft.com/office/drawing/2014/main" id="{00000000-0008-0000-0500-000041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17</xdr:row>
      <xdr:rowOff>25400</xdr:rowOff>
    </xdr:from>
    <xdr:to>
      <xdr:col>12</xdr:col>
      <xdr:colOff>450850</xdr:colOff>
      <xdr:row>34</xdr:row>
      <xdr:rowOff>19050</xdr:rowOff>
    </xdr:to>
    <xdr:graphicFrame macro="">
      <xdr:nvGraphicFramePr>
        <xdr:cNvPr id="2604354" name="Graphique 2">
          <a:extLst>
            <a:ext uri="{FF2B5EF4-FFF2-40B4-BE49-F238E27FC236}">
              <a16:creationId xmlns:a16="http://schemas.microsoft.com/office/drawing/2014/main" id="{00000000-0008-0000-0500-000042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450850</xdr:colOff>
      <xdr:row>34</xdr:row>
      <xdr:rowOff>19050</xdr:rowOff>
    </xdr:to>
    <xdr:graphicFrame macro="">
      <xdr:nvGraphicFramePr>
        <xdr:cNvPr id="2604355" name="Graphique 2">
          <a:extLst>
            <a:ext uri="{FF2B5EF4-FFF2-40B4-BE49-F238E27FC236}">
              <a16:creationId xmlns:a16="http://schemas.microsoft.com/office/drawing/2014/main" id="{00000000-0008-0000-0500-000043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sp macro="" textlink="">
      <xdr:nvSpPr>
        <xdr:cNvPr id="2604101" name="Object 69" hidden="1">
          <a:extLst>
            <a:ext uri="{63B3BB69-23CF-44E3-9099-C40C66FF867C}">
              <a14:compatExt xmlns:a14="http://schemas.microsoft.com/office/drawing/2010/main" spid="_x0000_s2604101"/>
            </a:ext>
            <a:ext uri="{FF2B5EF4-FFF2-40B4-BE49-F238E27FC236}">
              <a16:creationId xmlns:a16="http://schemas.microsoft.com/office/drawing/2014/main" id="{00000000-0008-0000-0500-000045BC2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pic>
      <xdr:nvPicPr>
        <xdr:cNvPr id="2" name="Picture 6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11115675"/>
          <a:ext cx="3476625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33</xdr:row>
      <xdr:rowOff>25400</xdr:rowOff>
    </xdr:from>
    <xdr:to>
      <xdr:col>2</xdr:col>
      <xdr:colOff>12700</xdr:colOff>
      <xdr:row>44</xdr:row>
      <xdr:rowOff>19050</xdr:rowOff>
    </xdr:to>
    <xdr:pic>
      <xdr:nvPicPr>
        <xdr:cNvPr id="5938" name="Image 1">
          <a:extLst>
            <a:ext uri="{FF2B5EF4-FFF2-40B4-BE49-F238E27FC236}">
              <a16:creationId xmlns:a16="http://schemas.microsoft.com/office/drawing/2014/main" id="{00000000-0008-0000-0600-00003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5295900"/>
          <a:ext cx="1231900" cy="173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1123950</xdr:colOff>
      <xdr:row>53</xdr:row>
      <xdr:rowOff>44450</xdr:rowOff>
    </xdr:from>
    <xdr:to>
      <xdr:col>10</xdr:col>
      <xdr:colOff>609600</xdr:colOff>
      <xdr:row>81</xdr:row>
      <xdr:rowOff>25400</xdr:rowOff>
    </xdr:to>
    <xdr:pic>
      <xdr:nvPicPr>
        <xdr:cNvPr id="5939" name="Image 2">
          <a:extLst>
            <a:ext uri="{FF2B5EF4-FFF2-40B4-BE49-F238E27FC236}">
              <a16:creationId xmlns:a16="http://schemas.microsoft.com/office/drawing/2014/main" id="{00000000-0008-0000-0600-00003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6350" y="8331200"/>
          <a:ext cx="7099300" cy="442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5940" name="Picture 8" descr="logoplasci">
          <a:extLst>
            <a:ext uri="{FF2B5EF4-FFF2-40B4-BE49-F238E27FC236}">
              <a16:creationId xmlns:a16="http://schemas.microsoft.com/office/drawing/2014/main" id="{00000000-0008-0000-0600-00003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80</xdr:row>
      <xdr:rowOff>12700</xdr:rowOff>
    </xdr:from>
    <xdr:to>
      <xdr:col>8</xdr:col>
      <xdr:colOff>0</xdr:colOff>
      <xdr:row>102</xdr:row>
      <xdr:rowOff>107950</xdr:rowOff>
    </xdr:to>
    <xdr:grpSp>
      <xdr:nvGrpSpPr>
        <xdr:cNvPr id="5501606" name="Group 232">
          <a:extLst>
            <a:ext uri="{FF2B5EF4-FFF2-40B4-BE49-F238E27FC236}">
              <a16:creationId xmlns:a16="http://schemas.microsoft.com/office/drawing/2014/main" id="{00000000-0008-0000-0700-0000A6F25300}"/>
            </a:ext>
          </a:extLst>
        </xdr:cNvPr>
        <xdr:cNvGrpSpPr>
          <a:grpSpLocks/>
        </xdr:cNvGrpSpPr>
      </xdr:nvGrpSpPr>
      <xdr:grpSpPr bwMode="auto">
        <a:xfrm>
          <a:off x="4108450" y="13214350"/>
          <a:ext cx="2139950" cy="3752850"/>
          <a:chOff x="3421" y="5379"/>
          <a:chExt cx="2289" cy="5759"/>
        </a:xfrm>
      </xdr:grpSpPr>
      <xdr:grpSp>
        <xdr:nvGrpSpPr>
          <xdr:cNvPr id="5501710" name="Group 233">
            <a:extLst>
              <a:ext uri="{FF2B5EF4-FFF2-40B4-BE49-F238E27FC236}">
                <a16:creationId xmlns:a16="http://schemas.microsoft.com/office/drawing/2014/main" id="{00000000-0008-0000-0700-00000EF3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28" name="Arc 234">
              <a:extLst>
                <a:ext uri="{FF2B5EF4-FFF2-40B4-BE49-F238E27FC236}">
                  <a16:creationId xmlns:a16="http://schemas.microsoft.com/office/drawing/2014/main" id="{00000000-0008-0000-0700-00002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9" name="Group 235">
              <a:extLst>
                <a:ext uri="{FF2B5EF4-FFF2-40B4-BE49-F238E27FC236}">
                  <a16:creationId xmlns:a16="http://schemas.microsoft.com/office/drawing/2014/main" id="{00000000-0008-0000-0700-00002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30" name="Line 236">
                <a:extLst>
                  <a:ext uri="{FF2B5EF4-FFF2-40B4-BE49-F238E27FC236}">
                    <a16:creationId xmlns:a16="http://schemas.microsoft.com/office/drawing/2014/main" id="{00000000-0008-0000-0700-00002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1" name="Line 237">
                <a:extLst>
                  <a:ext uri="{FF2B5EF4-FFF2-40B4-BE49-F238E27FC236}">
                    <a16:creationId xmlns:a16="http://schemas.microsoft.com/office/drawing/2014/main" id="{00000000-0008-0000-0700-00002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2" name="Line 238">
                <a:extLst>
                  <a:ext uri="{FF2B5EF4-FFF2-40B4-BE49-F238E27FC236}">
                    <a16:creationId xmlns:a16="http://schemas.microsoft.com/office/drawing/2014/main" id="{00000000-0008-0000-0700-00002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3" name="Line 239">
                <a:extLst>
                  <a:ext uri="{FF2B5EF4-FFF2-40B4-BE49-F238E27FC236}">
                    <a16:creationId xmlns:a16="http://schemas.microsoft.com/office/drawing/2014/main" id="{00000000-0008-0000-0700-00002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4" name="Line 240">
                <a:extLst>
                  <a:ext uri="{FF2B5EF4-FFF2-40B4-BE49-F238E27FC236}">
                    <a16:creationId xmlns:a16="http://schemas.microsoft.com/office/drawing/2014/main" id="{00000000-0008-0000-0700-00002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711" name="Group 241">
            <a:extLst>
              <a:ext uri="{FF2B5EF4-FFF2-40B4-BE49-F238E27FC236}">
                <a16:creationId xmlns:a16="http://schemas.microsoft.com/office/drawing/2014/main" id="{00000000-0008-0000-0700-00000FF3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721" name="Arc 242">
              <a:extLst>
                <a:ext uri="{FF2B5EF4-FFF2-40B4-BE49-F238E27FC236}">
                  <a16:creationId xmlns:a16="http://schemas.microsoft.com/office/drawing/2014/main" id="{00000000-0008-0000-0700-000019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2" name="Group 243">
              <a:extLst>
                <a:ext uri="{FF2B5EF4-FFF2-40B4-BE49-F238E27FC236}">
                  <a16:creationId xmlns:a16="http://schemas.microsoft.com/office/drawing/2014/main" id="{00000000-0008-0000-0700-00001A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23" name="Line 244">
                <a:extLst>
                  <a:ext uri="{FF2B5EF4-FFF2-40B4-BE49-F238E27FC236}">
                    <a16:creationId xmlns:a16="http://schemas.microsoft.com/office/drawing/2014/main" id="{00000000-0008-0000-0700-00001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4" name="Line 245">
                <a:extLst>
                  <a:ext uri="{FF2B5EF4-FFF2-40B4-BE49-F238E27FC236}">
                    <a16:creationId xmlns:a16="http://schemas.microsoft.com/office/drawing/2014/main" id="{00000000-0008-0000-0700-00001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5" name="Line 246">
                <a:extLst>
                  <a:ext uri="{FF2B5EF4-FFF2-40B4-BE49-F238E27FC236}">
                    <a16:creationId xmlns:a16="http://schemas.microsoft.com/office/drawing/2014/main" id="{00000000-0008-0000-0700-00001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6" name="Line 247">
                <a:extLst>
                  <a:ext uri="{FF2B5EF4-FFF2-40B4-BE49-F238E27FC236}">
                    <a16:creationId xmlns:a16="http://schemas.microsoft.com/office/drawing/2014/main" id="{00000000-0008-0000-0700-00001E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7" name="Line 248">
                <a:extLst>
                  <a:ext uri="{FF2B5EF4-FFF2-40B4-BE49-F238E27FC236}">
                    <a16:creationId xmlns:a16="http://schemas.microsoft.com/office/drawing/2014/main" id="{00000000-0008-0000-0700-00001F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712" name="Line 249">
            <a:extLst>
              <a:ext uri="{FF2B5EF4-FFF2-40B4-BE49-F238E27FC236}">
                <a16:creationId xmlns:a16="http://schemas.microsoft.com/office/drawing/2014/main" id="{00000000-0008-0000-0700-000010F3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3" name="Line 250">
            <a:extLst>
              <a:ext uri="{FF2B5EF4-FFF2-40B4-BE49-F238E27FC236}">
                <a16:creationId xmlns:a16="http://schemas.microsoft.com/office/drawing/2014/main" id="{00000000-0008-0000-0700-000011F3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4" name="Line 251">
            <a:extLst>
              <a:ext uri="{FF2B5EF4-FFF2-40B4-BE49-F238E27FC236}">
                <a16:creationId xmlns:a16="http://schemas.microsoft.com/office/drawing/2014/main" id="{00000000-0008-0000-0700-000012F3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5" name="Line 252">
            <a:extLst>
              <a:ext uri="{FF2B5EF4-FFF2-40B4-BE49-F238E27FC236}">
                <a16:creationId xmlns:a16="http://schemas.microsoft.com/office/drawing/2014/main" id="{00000000-0008-0000-0700-000013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6" name="Line 253">
            <a:extLst>
              <a:ext uri="{FF2B5EF4-FFF2-40B4-BE49-F238E27FC236}">
                <a16:creationId xmlns:a16="http://schemas.microsoft.com/office/drawing/2014/main" id="{00000000-0008-0000-0700-000014F3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7" name="Line 254">
            <a:extLst>
              <a:ext uri="{FF2B5EF4-FFF2-40B4-BE49-F238E27FC236}">
                <a16:creationId xmlns:a16="http://schemas.microsoft.com/office/drawing/2014/main" id="{00000000-0008-0000-0700-000015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8" name="Line 255">
            <a:extLst>
              <a:ext uri="{FF2B5EF4-FFF2-40B4-BE49-F238E27FC236}">
                <a16:creationId xmlns:a16="http://schemas.microsoft.com/office/drawing/2014/main" id="{00000000-0008-0000-0700-000016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9" name="Line 256">
            <a:extLst>
              <a:ext uri="{FF2B5EF4-FFF2-40B4-BE49-F238E27FC236}">
                <a16:creationId xmlns:a16="http://schemas.microsoft.com/office/drawing/2014/main" id="{00000000-0008-0000-0700-000017F3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20" name="Line 257">
            <a:extLst>
              <a:ext uri="{FF2B5EF4-FFF2-40B4-BE49-F238E27FC236}">
                <a16:creationId xmlns:a16="http://schemas.microsoft.com/office/drawing/2014/main" id="{00000000-0008-0000-0700-000018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825500</xdr:colOff>
      <xdr:row>84</xdr:row>
      <xdr:rowOff>101600</xdr:rowOff>
    </xdr:from>
    <xdr:to>
      <xdr:col>6</xdr:col>
      <xdr:colOff>1543050</xdr:colOff>
      <xdr:row>84</xdr:row>
      <xdr:rowOff>101600</xdr:rowOff>
    </xdr:to>
    <xdr:sp macro="" textlink="">
      <xdr:nvSpPr>
        <xdr:cNvPr id="5501607" name="Line 268">
          <a:extLst>
            <a:ext uri="{FF2B5EF4-FFF2-40B4-BE49-F238E27FC236}">
              <a16:creationId xmlns:a16="http://schemas.microsoft.com/office/drawing/2014/main" id="{00000000-0008-0000-0700-0000A7F25300}"/>
            </a:ext>
          </a:extLst>
        </xdr:cNvPr>
        <xdr:cNvSpPr>
          <a:spLocks noChangeShapeType="1"/>
        </xdr:cNvSpPr>
      </xdr:nvSpPr>
      <xdr:spPr bwMode="auto">
        <a:xfrm flipV="1">
          <a:off x="5105400" y="14128750"/>
          <a:ext cx="7175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8</xdr:col>
      <xdr:colOff>654050</xdr:colOff>
      <xdr:row>80</xdr:row>
      <xdr:rowOff>0</xdr:rowOff>
    </xdr:to>
    <xdr:sp macro="" textlink="">
      <xdr:nvSpPr>
        <xdr:cNvPr id="5501608" name="Line 269">
          <a:extLst>
            <a:ext uri="{FF2B5EF4-FFF2-40B4-BE49-F238E27FC236}">
              <a16:creationId xmlns:a16="http://schemas.microsoft.com/office/drawing/2014/main" id="{00000000-0008-0000-0700-0000A8F25300}"/>
            </a:ext>
          </a:extLst>
        </xdr:cNvPr>
        <xdr:cNvSpPr>
          <a:spLocks noChangeShapeType="1"/>
        </xdr:cNvSpPr>
      </xdr:nvSpPr>
      <xdr:spPr bwMode="auto">
        <a:xfrm flipV="1">
          <a:off x="4432300" y="13354050"/>
          <a:ext cx="2647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228600</xdr:colOff>
      <xdr:row>80</xdr:row>
      <xdr:rowOff>12700</xdr:rowOff>
    </xdr:from>
    <xdr:to>
      <xdr:col>8</xdr:col>
      <xdr:colOff>228600</xdr:colOff>
      <xdr:row>93</xdr:row>
      <xdr:rowOff>82550</xdr:rowOff>
    </xdr:to>
    <xdr:sp macro="" textlink="">
      <xdr:nvSpPr>
        <xdr:cNvPr id="5501609" name="Line 270">
          <a:extLst>
            <a:ext uri="{FF2B5EF4-FFF2-40B4-BE49-F238E27FC236}">
              <a16:creationId xmlns:a16="http://schemas.microsoft.com/office/drawing/2014/main" id="{00000000-0008-0000-0700-0000A9F25300}"/>
            </a:ext>
          </a:extLst>
        </xdr:cNvPr>
        <xdr:cNvSpPr>
          <a:spLocks noChangeShapeType="1"/>
        </xdr:cNvSpPr>
      </xdr:nvSpPr>
      <xdr:spPr bwMode="auto">
        <a:xfrm>
          <a:off x="6838950" y="13366750"/>
          <a:ext cx="0" cy="2209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139700</xdr:colOff>
      <xdr:row>83</xdr:row>
      <xdr:rowOff>50800</xdr:rowOff>
    </xdr:from>
    <xdr:to>
      <xdr:col>6</xdr:col>
      <xdr:colOff>838200</xdr:colOff>
      <xdr:row>83</xdr:row>
      <xdr:rowOff>50800</xdr:rowOff>
    </xdr:to>
    <xdr:sp macro="" textlink="">
      <xdr:nvSpPr>
        <xdr:cNvPr id="5501610" name="Line 271">
          <a:extLst>
            <a:ext uri="{FF2B5EF4-FFF2-40B4-BE49-F238E27FC236}">
              <a16:creationId xmlns:a16="http://schemas.microsoft.com/office/drawing/2014/main" id="{00000000-0008-0000-0700-0000AAF25300}"/>
            </a:ext>
          </a:extLst>
        </xdr:cNvPr>
        <xdr:cNvSpPr>
          <a:spLocks noChangeShapeType="1"/>
        </xdr:cNvSpPr>
      </xdr:nvSpPr>
      <xdr:spPr bwMode="auto">
        <a:xfrm>
          <a:off x="4419600" y="13912850"/>
          <a:ext cx="698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6</xdr:col>
      <xdr:colOff>152400</xdr:colOff>
      <xdr:row>83</xdr:row>
      <xdr:rowOff>50800</xdr:rowOff>
    </xdr:to>
    <xdr:sp macro="" textlink="">
      <xdr:nvSpPr>
        <xdr:cNvPr id="5501611" name="Line 272">
          <a:extLst>
            <a:ext uri="{FF2B5EF4-FFF2-40B4-BE49-F238E27FC236}">
              <a16:creationId xmlns:a16="http://schemas.microsoft.com/office/drawing/2014/main" id="{00000000-0008-0000-0700-0000ABF25300}"/>
            </a:ext>
          </a:extLst>
        </xdr:cNvPr>
        <xdr:cNvSpPr>
          <a:spLocks noChangeShapeType="1"/>
        </xdr:cNvSpPr>
      </xdr:nvSpPr>
      <xdr:spPr bwMode="auto">
        <a:xfrm>
          <a:off x="4432300" y="13354050"/>
          <a:ext cx="0" cy="558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7</xdr:col>
      <xdr:colOff>787400</xdr:colOff>
      <xdr:row>102</xdr:row>
      <xdr:rowOff>95250</xdr:rowOff>
    </xdr:from>
    <xdr:to>
      <xdr:col>8</xdr:col>
      <xdr:colOff>552450</xdr:colOff>
      <xdr:row>102</xdr:row>
      <xdr:rowOff>95250</xdr:rowOff>
    </xdr:to>
    <xdr:sp macro="" textlink="">
      <xdr:nvSpPr>
        <xdr:cNvPr id="5501612" name="Line 277">
          <a:extLst>
            <a:ext uri="{FF2B5EF4-FFF2-40B4-BE49-F238E27FC236}">
              <a16:creationId xmlns:a16="http://schemas.microsoft.com/office/drawing/2014/main" id="{00000000-0008-0000-0700-0000ACF25300}"/>
            </a:ext>
          </a:extLst>
        </xdr:cNvPr>
        <xdr:cNvSpPr>
          <a:spLocks noChangeShapeType="1"/>
        </xdr:cNvSpPr>
      </xdr:nvSpPr>
      <xdr:spPr bwMode="auto">
        <a:xfrm>
          <a:off x="6610350" y="17068800"/>
          <a:ext cx="469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12700</xdr:colOff>
      <xdr:row>98</xdr:row>
      <xdr:rowOff>133350</xdr:rowOff>
    </xdr:from>
    <xdr:to>
      <xdr:col>8</xdr:col>
      <xdr:colOff>469900</xdr:colOff>
      <xdr:row>98</xdr:row>
      <xdr:rowOff>133350</xdr:rowOff>
    </xdr:to>
    <xdr:sp macro="" textlink="">
      <xdr:nvSpPr>
        <xdr:cNvPr id="5501613" name="Line 278">
          <a:extLst>
            <a:ext uri="{FF2B5EF4-FFF2-40B4-BE49-F238E27FC236}">
              <a16:creationId xmlns:a16="http://schemas.microsoft.com/office/drawing/2014/main" id="{00000000-0008-0000-0700-0000ADF25300}"/>
            </a:ext>
          </a:extLst>
        </xdr:cNvPr>
        <xdr:cNvSpPr>
          <a:spLocks noChangeShapeType="1"/>
        </xdr:cNvSpPr>
      </xdr:nvSpPr>
      <xdr:spPr bwMode="auto">
        <a:xfrm>
          <a:off x="6623050" y="16440150"/>
          <a:ext cx="457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8</xdr:col>
      <xdr:colOff>552450</xdr:colOff>
      <xdr:row>93</xdr:row>
      <xdr:rowOff>76200</xdr:rowOff>
    </xdr:to>
    <xdr:sp macro="" textlink="">
      <xdr:nvSpPr>
        <xdr:cNvPr id="5501614" name="Line 279">
          <a:extLst>
            <a:ext uri="{FF2B5EF4-FFF2-40B4-BE49-F238E27FC236}">
              <a16:creationId xmlns:a16="http://schemas.microsoft.com/office/drawing/2014/main" id="{00000000-0008-0000-0700-0000AEF25300}"/>
            </a:ext>
          </a:extLst>
        </xdr:cNvPr>
        <xdr:cNvSpPr>
          <a:spLocks noChangeShapeType="1"/>
        </xdr:cNvSpPr>
      </xdr:nvSpPr>
      <xdr:spPr bwMode="auto">
        <a:xfrm flipV="1">
          <a:off x="4756150" y="15570200"/>
          <a:ext cx="2324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99</xdr:row>
      <xdr:rowOff>152400</xdr:rowOff>
    </xdr:from>
    <xdr:to>
      <xdr:col>6</xdr:col>
      <xdr:colOff>1428750</xdr:colOff>
      <xdr:row>99</xdr:row>
      <xdr:rowOff>152400</xdr:rowOff>
    </xdr:to>
    <xdr:sp macro="" textlink="">
      <xdr:nvSpPr>
        <xdr:cNvPr id="5501615" name="Line 280">
          <a:extLst>
            <a:ext uri="{FF2B5EF4-FFF2-40B4-BE49-F238E27FC236}">
              <a16:creationId xmlns:a16="http://schemas.microsoft.com/office/drawing/2014/main" id="{00000000-0008-0000-0700-0000AFF25300}"/>
            </a:ext>
          </a:extLst>
        </xdr:cNvPr>
        <xdr:cNvSpPr>
          <a:spLocks noChangeShapeType="1"/>
        </xdr:cNvSpPr>
      </xdr:nvSpPr>
      <xdr:spPr bwMode="auto">
        <a:xfrm flipV="1">
          <a:off x="4756150" y="1661795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6</xdr:col>
      <xdr:colOff>476250</xdr:colOff>
      <xdr:row>100</xdr:row>
      <xdr:rowOff>0</xdr:rowOff>
    </xdr:to>
    <xdr:sp macro="" textlink="">
      <xdr:nvSpPr>
        <xdr:cNvPr id="5501616" name="Line 281">
          <a:extLst>
            <a:ext uri="{FF2B5EF4-FFF2-40B4-BE49-F238E27FC236}">
              <a16:creationId xmlns:a16="http://schemas.microsoft.com/office/drawing/2014/main" id="{00000000-0008-0000-0700-0000B0F25300}"/>
            </a:ext>
          </a:extLst>
        </xdr:cNvPr>
        <xdr:cNvSpPr>
          <a:spLocks noChangeShapeType="1"/>
        </xdr:cNvSpPr>
      </xdr:nvSpPr>
      <xdr:spPr bwMode="auto">
        <a:xfrm>
          <a:off x="4756150" y="15570200"/>
          <a:ext cx="0" cy="1066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98</xdr:row>
      <xdr:rowOff>133350</xdr:rowOff>
    </xdr:from>
    <xdr:to>
      <xdr:col>8</xdr:col>
      <xdr:colOff>488950</xdr:colOff>
      <xdr:row>102</xdr:row>
      <xdr:rowOff>95250</xdr:rowOff>
    </xdr:to>
    <xdr:sp macro="" textlink="">
      <xdr:nvSpPr>
        <xdr:cNvPr id="5501617" name="Line 282">
          <a:extLst>
            <a:ext uri="{FF2B5EF4-FFF2-40B4-BE49-F238E27FC236}">
              <a16:creationId xmlns:a16="http://schemas.microsoft.com/office/drawing/2014/main" id="{00000000-0008-0000-0700-0000B1F25300}"/>
            </a:ext>
          </a:extLst>
        </xdr:cNvPr>
        <xdr:cNvSpPr>
          <a:spLocks noChangeShapeType="1"/>
        </xdr:cNvSpPr>
      </xdr:nvSpPr>
      <xdr:spPr bwMode="auto">
        <a:xfrm>
          <a:off x="7080250" y="16440150"/>
          <a:ext cx="0" cy="628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93</xdr:row>
      <xdr:rowOff>63500</xdr:rowOff>
    </xdr:from>
    <xdr:to>
      <xdr:col>8</xdr:col>
      <xdr:colOff>488950</xdr:colOff>
      <xdr:row>98</xdr:row>
      <xdr:rowOff>133350</xdr:rowOff>
    </xdr:to>
    <xdr:sp macro="" textlink="">
      <xdr:nvSpPr>
        <xdr:cNvPr id="5501618" name="Line 283">
          <a:extLst>
            <a:ext uri="{FF2B5EF4-FFF2-40B4-BE49-F238E27FC236}">
              <a16:creationId xmlns:a16="http://schemas.microsoft.com/office/drawing/2014/main" id="{00000000-0008-0000-0700-0000B2F25300}"/>
            </a:ext>
          </a:extLst>
        </xdr:cNvPr>
        <xdr:cNvSpPr>
          <a:spLocks noChangeShapeType="1"/>
        </xdr:cNvSpPr>
      </xdr:nvSpPr>
      <xdr:spPr bwMode="auto">
        <a:xfrm>
          <a:off x="7080250" y="15557500"/>
          <a:ext cx="0" cy="882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0</xdr:colOff>
      <xdr:row>102</xdr:row>
      <xdr:rowOff>95250</xdr:rowOff>
    </xdr:from>
    <xdr:to>
      <xdr:col>8</xdr:col>
      <xdr:colOff>0</xdr:colOff>
      <xdr:row>103</xdr:row>
      <xdr:rowOff>0</xdr:rowOff>
    </xdr:to>
    <xdr:sp macro="" textlink="">
      <xdr:nvSpPr>
        <xdr:cNvPr id="5501619" name="Line 284">
          <a:extLst>
            <a:ext uri="{FF2B5EF4-FFF2-40B4-BE49-F238E27FC236}">
              <a16:creationId xmlns:a16="http://schemas.microsoft.com/office/drawing/2014/main" id="{00000000-0008-0000-0700-0000B3F25300}"/>
            </a:ext>
          </a:extLst>
        </xdr:cNvPr>
        <xdr:cNvSpPr>
          <a:spLocks noChangeShapeType="1"/>
        </xdr:cNvSpPr>
      </xdr:nvSpPr>
      <xdr:spPr bwMode="auto">
        <a:xfrm flipV="1">
          <a:off x="6610350" y="17068800"/>
          <a:ext cx="0" cy="698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1428750</xdr:colOff>
      <xdr:row>99</xdr:row>
      <xdr:rowOff>139700</xdr:rowOff>
    </xdr:from>
    <xdr:to>
      <xdr:col>6</xdr:col>
      <xdr:colOff>1428750</xdr:colOff>
      <xdr:row>103</xdr:row>
      <xdr:rowOff>0</xdr:rowOff>
    </xdr:to>
    <xdr:sp macro="" textlink="">
      <xdr:nvSpPr>
        <xdr:cNvPr id="5501620" name="Line 285">
          <a:extLst>
            <a:ext uri="{FF2B5EF4-FFF2-40B4-BE49-F238E27FC236}">
              <a16:creationId xmlns:a16="http://schemas.microsoft.com/office/drawing/2014/main" id="{00000000-0008-0000-0700-0000B4F25300}"/>
            </a:ext>
          </a:extLst>
        </xdr:cNvPr>
        <xdr:cNvSpPr>
          <a:spLocks noChangeShapeType="1"/>
        </xdr:cNvSpPr>
      </xdr:nvSpPr>
      <xdr:spPr bwMode="auto">
        <a:xfrm flipH="1" flipV="1">
          <a:off x="5708650" y="16605250"/>
          <a:ext cx="0" cy="533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1422400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501621" name="Line 286">
          <a:extLst>
            <a:ext uri="{FF2B5EF4-FFF2-40B4-BE49-F238E27FC236}">
              <a16:creationId xmlns:a16="http://schemas.microsoft.com/office/drawing/2014/main" id="{00000000-0008-0000-0700-0000B5F25300}"/>
            </a:ext>
          </a:extLst>
        </xdr:cNvPr>
        <xdr:cNvSpPr>
          <a:spLocks noChangeShapeType="1"/>
        </xdr:cNvSpPr>
      </xdr:nvSpPr>
      <xdr:spPr bwMode="auto">
        <a:xfrm>
          <a:off x="5702300" y="17138650"/>
          <a:ext cx="9080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685800</xdr:colOff>
      <xdr:row>89</xdr:row>
      <xdr:rowOff>69850</xdr:rowOff>
    </xdr:from>
    <xdr:to>
      <xdr:col>6</xdr:col>
      <xdr:colOff>1695450</xdr:colOff>
      <xdr:row>89</xdr:row>
      <xdr:rowOff>69850</xdr:rowOff>
    </xdr:to>
    <xdr:sp macro="" textlink="">
      <xdr:nvSpPr>
        <xdr:cNvPr id="5501622" name="Line 287">
          <a:extLst>
            <a:ext uri="{FF2B5EF4-FFF2-40B4-BE49-F238E27FC236}">
              <a16:creationId xmlns:a16="http://schemas.microsoft.com/office/drawing/2014/main" id="{00000000-0008-0000-0700-0000B6F25300}"/>
            </a:ext>
          </a:extLst>
        </xdr:cNvPr>
        <xdr:cNvSpPr>
          <a:spLocks noChangeShapeType="1"/>
        </xdr:cNvSpPr>
      </xdr:nvSpPr>
      <xdr:spPr bwMode="auto">
        <a:xfrm>
          <a:off x="4965700" y="14916150"/>
          <a:ext cx="10096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990600</xdr:colOff>
      <xdr:row>93</xdr:row>
      <xdr:rowOff>25400</xdr:rowOff>
    </xdr:from>
    <xdr:to>
      <xdr:col>6</xdr:col>
      <xdr:colOff>1397000</xdr:colOff>
      <xdr:row>93</xdr:row>
      <xdr:rowOff>25400</xdr:rowOff>
    </xdr:to>
    <xdr:sp macro="" textlink="">
      <xdr:nvSpPr>
        <xdr:cNvPr id="5501623" name="Line 288">
          <a:extLst>
            <a:ext uri="{FF2B5EF4-FFF2-40B4-BE49-F238E27FC236}">
              <a16:creationId xmlns:a16="http://schemas.microsoft.com/office/drawing/2014/main" id="{00000000-0008-0000-0700-0000B7F25300}"/>
            </a:ext>
          </a:extLst>
        </xdr:cNvPr>
        <xdr:cNvSpPr>
          <a:spLocks noChangeShapeType="1"/>
        </xdr:cNvSpPr>
      </xdr:nvSpPr>
      <xdr:spPr bwMode="auto">
        <a:xfrm>
          <a:off x="5270500" y="15519400"/>
          <a:ext cx="4064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850900</xdr:colOff>
      <xdr:row>87</xdr:row>
      <xdr:rowOff>57150</xdr:rowOff>
    </xdr:from>
    <xdr:to>
      <xdr:col>8</xdr:col>
      <xdr:colOff>44450</xdr:colOff>
      <xdr:row>87</xdr:row>
      <xdr:rowOff>57150</xdr:rowOff>
    </xdr:to>
    <xdr:sp macro="" textlink="">
      <xdr:nvSpPr>
        <xdr:cNvPr id="5501624" name="Line 289">
          <a:extLst>
            <a:ext uri="{FF2B5EF4-FFF2-40B4-BE49-F238E27FC236}">
              <a16:creationId xmlns:a16="http://schemas.microsoft.com/office/drawing/2014/main" id="{00000000-0008-0000-0700-0000B8F25300}"/>
            </a:ext>
          </a:extLst>
        </xdr:cNvPr>
        <xdr:cNvSpPr>
          <a:spLocks noChangeShapeType="1"/>
        </xdr:cNvSpPr>
      </xdr:nvSpPr>
      <xdr:spPr bwMode="auto">
        <a:xfrm>
          <a:off x="5130800" y="145796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88</xdr:row>
      <xdr:rowOff>57150</xdr:rowOff>
    </xdr:from>
    <xdr:to>
      <xdr:col>8</xdr:col>
      <xdr:colOff>57150</xdr:colOff>
      <xdr:row>88</xdr:row>
      <xdr:rowOff>57150</xdr:rowOff>
    </xdr:to>
    <xdr:sp macro="" textlink="">
      <xdr:nvSpPr>
        <xdr:cNvPr id="5501625" name="Line 290">
          <a:extLst>
            <a:ext uri="{FF2B5EF4-FFF2-40B4-BE49-F238E27FC236}">
              <a16:creationId xmlns:a16="http://schemas.microsoft.com/office/drawing/2014/main" id="{00000000-0008-0000-0700-0000B9F25300}"/>
            </a:ext>
          </a:extLst>
        </xdr:cNvPr>
        <xdr:cNvSpPr>
          <a:spLocks noChangeShapeType="1"/>
        </xdr:cNvSpPr>
      </xdr:nvSpPr>
      <xdr:spPr bwMode="auto">
        <a:xfrm>
          <a:off x="4978400" y="14738350"/>
          <a:ext cx="16891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90</xdr:row>
      <xdr:rowOff>139700</xdr:rowOff>
    </xdr:from>
    <xdr:to>
      <xdr:col>8</xdr:col>
      <xdr:colOff>69850</xdr:colOff>
      <xdr:row>90</xdr:row>
      <xdr:rowOff>139700</xdr:rowOff>
    </xdr:to>
    <xdr:sp macro="" textlink="">
      <xdr:nvSpPr>
        <xdr:cNvPr id="5501626" name="Line 291">
          <a:extLst>
            <a:ext uri="{FF2B5EF4-FFF2-40B4-BE49-F238E27FC236}">
              <a16:creationId xmlns:a16="http://schemas.microsoft.com/office/drawing/2014/main" id="{00000000-0008-0000-0700-0000BAF25300}"/>
            </a:ext>
          </a:extLst>
        </xdr:cNvPr>
        <xdr:cNvSpPr>
          <a:spLocks noChangeShapeType="1"/>
        </xdr:cNvSpPr>
      </xdr:nvSpPr>
      <xdr:spPr bwMode="auto">
        <a:xfrm>
          <a:off x="4978400" y="15157450"/>
          <a:ext cx="17018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977900</xdr:colOff>
      <xdr:row>92</xdr:row>
      <xdr:rowOff>44450</xdr:rowOff>
    </xdr:from>
    <xdr:to>
      <xdr:col>8</xdr:col>
      <xdr:colOff>44450</xdr:colOff>
      <xdr:row>92</xdr:row>
      <xdr:rowOff>44450</xdr:rowOff>
    </xdr:to>
    <xdr:sp macro="" textlink="">
      <xdr:nvSpPr>
        <xdr:cNvPr id="5501627" name="Line 292">
          <a:extLst>
            <a:ext uri="{FF2B5EF4-FFF2-40B4-BE49-F238E27FC236}">
              <a16:creationId xmlns:a16="http://schemas.microsoft.com/office/drawing/2014/main" id="{00000000-0008-0000-0700-0000BBF25300}"/>
            </a:ext>
          </a:extLst>
        </xdr:cNvPr>
        <xdr:cNvSpPr>
          <a:spLocks noChangeShapeType="1"/>
        </xdr:cNvSpPr>
      </xdr:nvSpPr>
      <xdr:spPr bwMode="auto">
        <a:xfrm>
          <a:off x="5257800" y="15379700"/>
          <a:ext cx="1397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1790700</xdr:colOff>
      <xdr:row>80</xdr:row>
      <xdr:rowOff>0</xdr:rowOff>
    </xdr:from>
    <xdr:to>
      <xdr:col>6</xdr:col>
      <xdr:colOff>1790700</xdr:colOff>
      <xdr:row>87</xdr:row>
      <xdr:rowOff>63500</xdr:rowOff>
    </xdr:to>
    <xdr:sp macro="" textlink="">
      <xdr:nvSpPr>
        <xdr:cNvPr id="5501628" name="Line 293">
          <a:extLst>
            <a:ext uri="{FF2B5EF4-FFF2-40B4-BE49-F238E27FC236}">
              <a16:creationId xmlns:a16="http://schemas.microsoft.com/office/drawing/2014/main" id="{00000000-0008-0000-0700-0000BCF25300}"/>
            </a:ext>
          </a:extLst>
        </xdr:cNvPr>
        <xdr:cNvSpPr>
          <a:spLocks noChangeShapeType="1"/>
        </xdr:cNvSpPr>
      </xdr:nvSpPr>
      <xdr:spPr bwMode="auto">
        <a:xfrm>
          <a:off x="6070600" y="13354050"/>
          <a:ext cx="0" cy="1231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7</xdr:col>
      <xdr:colOff>190500</xdr:colOff>
      <xdr:row>80</xdr:row>
      <xdr:rowOff>0</xdr:rowOff>
    </xdr:from>
    <xdr:to>
      <xdr:col>7</xdr:col>
      <xdr:colOff>190500</xdr:colOff>
      <xdr:row>90</xdr:row>
      <xdr:rowOff>133350</xdr:rowOff>
    </xdr:to>
    <xdr:sp macro="" textlink="">
      <xdr:nvSpPr>
        <xdr:cNvPr id="5501629" name="Line 294">
          <a:extLst>
            <a:ext uri="{FF2B5EF4-FFF2-40B4-BE49-F238E27FC236}">
              <a16:creationId xmlns:a16="http://schemas.microsoft.com/office/drawing/2014/main" id="{00000000-0008-0000-0700-0000BDF25300}"/>
            </a:ext>
          </a:extLst>
        </xdr:cNvPr>
        <xdr:cNvSpPr>
          <a:spLocks noChangeShapeType="1"/>
        </xdr:cNvSpPr>
      </xdr:nvSpPr>
      <xdr:spPr bwMode="auto">
        <a:xfrm>
          <a:off x="6330950" y="13354050"/>
          <a:ext cx="0" cy="17970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87</xdr:row>
      <xdr:rowOff>57150</xdr:rowOff>
    </xdr:from>
    <xdr:to>
      <xdr:col>8</xdr:col>
      <xdr:colOff>44450</xdr:colOff>
      <xdr:row>88</xdr:row>
      <xdr:rowOff>57150</xdr:rowOff>
    </xdr:to>
    <xdr:sp macro="" textlink="">
      <xdr:nvSpPr>
        <xdr:cNvPr id="5501630" name="Line 295">
          <a:extLst>
            <a:ext uri="{FF2B5EF4-FFF2-40B4-BE49-F238E27FC236}">
              <a16:creationId xmlns:a16="http://schemas.microsoft.com/office/drawing/2014/main" id="{00000000-0008-0000-0700-0000BEF25300}"/>
            </a:ext>
          </a:extLst>
        </xdr:cNvPr>
        <xdr:cNvSpPr>
          <a:spLocks noChangeShapeType="1"/>
        </xdr:cNvSpPr>
      </xdr:nvSpPr>
      <xdr:spPr bwMode="auto">
        <a:xfrm>
          <a:off x="6654800" y="14579600"/>
          <a:ext cx="0" cy="15875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90</xdr:row>
      <xdr:rowOff>139700</xdr:rowOff>
    </xdr:from>
    <xdr:to>
      <xdr:col>8</xdr:col>
      <xdr:colOff>44450</xdr:colOff>
      <xdr:row>92</xdr:row>
      <xdr:rowOff>44450</xdr:rowOff>
    </xdr:to>
    <xdr:sp macro="" textlink="">
      <xdr:nvSpPr>
        <xdr:cNvPr id="5501631" name="Line 296">
          <a:extLst>
            <a:ext uri="{FF2B5EF4-FFF2-40B4-BE49-F238E27FC236}">
              <a16:creationId xmlns:a16="http://schemas.microsoft.com/office/drawing/2014/main" id="{00000000-0008-0000-0700-0000BFF25300}"/>
            </a:ext>
          </a:extLst>
        </xdr:cNvPr>
        <xdr:cNvSpPr>
          <a:spLocks noChangeShapeType="1"/>
        </xdr:cNvSpPr>
      </xdr:nvSpPr>
      <xdr:spPr bwMode="auto">
        <a:xfrm>
          <a:off x="6654800" y="15157450"/>
          <a:ext cx="0" cy="2222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838200</xdr:colOff>
      <xdr:row>84</xdr:row>
      <xdr:rowOff>101600</xdr:rowOff>
    </xdr:to>
    <xdr:sp macro="" textlink="">
      <xdr:nvSpPr>
        <xdr:cNvPr id="5501632" name="Line 297">
          <a:extLst>
            <a:ext uri="{FF2B5EF4-FFF2-40B4-BE49-F238E27FC236}">
              <a16:creationId xmlns:a16="http://schemas.microsoft.com/office/drawing/2014/main" id="{00000000-0008-0000-0700-0000C0F25300}"/>
            </a:ext>
          </a:extLst>
        </xdr:cNvPr>
        <xdr:cNvSpPr>
          <a:spLocks noChangeShapeType="1"/>
        </xdr:cNvSpPr>
      </xdr:nvSpPr>
      <xdr:spPr bwMode="auto">
        <a:xfrm>
          <a:off x="4279900" y="1412875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89</xdr:row>
      <xdr:rowOff>69850</xdr:rowOff>
    </xdr:from>
    <xdr:to>
      <xdr:col>6</xdr:col>
      <xdr:colOff>685800</xdr:colOff>
      <xdr:row>89</xdr:row>
      <xdr:rowOff>69850</xdr:rowOff>
    </xdr:to>
    <xdr:sp macro="" textlink="">
      <xdr:nvSpPr>
        <xdr:cNvPr id="5501633" name="Line 298">
          <a:extLst>
            <a:ext uri="{FF2B5EF4-FFF2-40B4-BE49-F238E27FC236}">
              <a16:creationId xmlns:a16="http://schemas.microsoft.com/office/drawing/2014/main" id="{00000000-0008-0000-0700-0000C1F25300}"/>
            </a:ext>
          </a:extLst>
        </xdr:cNvPr>
        <xdr:cNvSpPr>
          <a:spLocks noChangeShapeType="1"/>
        </xdr:cNvSpPr>
      </xdr:nvSpPr>
      <xdr:spPr bwMode="auto">
        <a:xfrm>
          <a:off x="4279900" y="14916150"/>
          <a:ext cx="685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971550</xdr:colOff>
      <xdr:row>93</xdr:row>
      <xdr:rowOff>25400</xdr:rowOff>
    </xdr:to>
    <xdr:sp macro="" textlink="">
      <xdr:nvSpPr>
        <xdr:cNvPr id="5501634" name="Line 299">
          <a:extLst>
            <a:ext uri="{FF2B5EF4-FFF2-40B4-BE49-F238E27FC236}">
              <a16:creationId xmlns:a16="http://schemas.microsoft.com/office/drawing/2014/main" id="{00000000-0008-0000-0700-0000C2F25300}"/>
            </a:ext>
          </a:extLst>
        </xdr:cNvPr>
        <xdr:cNvSpPr>
          <a:spLocks noChangeShapeType="1"/>
        </xdr:cNvSpPr>
      </xdr:nvSpPr>
      <xdr:spPr bwMode="auto">
        <a:xfrm>
          <a:off x="4279900" y="15519400"/>
          <a:ext cx="9715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476250</xdr:colOff>
      <xdr:row>96</xdr:row>
      <xdr:rowOff>76200</xdr:rowOff>
    </xdr:to>
    <xdr:sp macro="" textlink="">
      <xdr:nvSpPr>
        <xdr:cNvPr id="5501635" name="Line 300">
          <a:extLst>
            <a:ext uri="{FF2B5EF4-FFF2-40B4-BE49-F238E27FC236}">
              <a16:creationId xmlns:a16="http://schemas.microsoft.com/office/drawing/2014/main" id="{00000000-0008-0000-0700-0000C3F25300}"/>
            </a:ext>
          </a:extLst>
        </xdr:cNvPr>
        <xdr:cNvSpPr>
          <a:spLocks noChangeShapeType="1"/>
        </xdr:cNvSpPr>
      </xdr:nvSpPr>
      <xdr:spPr bwMode="auto">
        <a:xfrm>
          <a:off x="4279900" y="16052800"/>
          <a:ext cx="476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152400</xdr:colOff>
      <xdr:row>103</xdr:row>
      <xdr:rowOff>0</xdr:rowOff>
    </xdr:from>
    <xdr:to>
      <xdr:col>7</xdr:col>
      <xdr:colOff>152400</xdr:colOff>
      <xdr:row>104</xdr:row>
      <xdr:rowOff>12700</xdr:rowOff>
    </xdr:to>
    <xdr:sp macro="" textlink="">
      <xdr:nvSpPr>
        <xdr:cNvPr id="5501636" name="Line 301">
          <a:extLst>
            <a:ext uri="{FF2B5EF4-FFF2-40B4-BE49-F238E27FC236}">
              <a16:creationId xmlns:a16="http://schemas.microsoft.com/office/drawing/2014/main" id="{00000000-0008-0000-0700-0000C4F25300}"/>
            </a:ext>
          </a:extLst>
        </xdr:cNvPr>
        <xdr:cNvSpPr>
          <a:spLocks noChangeShapeType="1"/>
        </xdr:cNvSpPr>
      </xdr:nvSpPr>
      <xdr:spPr bwMode="auto">
        <a:xfrm>
          <a:off x="6292850" y="17138650"/>
          <a:ext cx="0" cy="184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152400</xdr:colOff>
      <xdr:row>81</xdr:row>
      <xdr:rowOff>76200</xdr:rowOff>
    </xdr:to>
    <xdr:sp macro="" textlink="">
      <xdr:nvSpPr>
        <xdr:cNvPr id="5501637" name="Line 302">
          <a:extLst>
            <a:ext uri="{FF2B5EF4-FFF2-40B4-BE49-F238E27FC236}">
              <a16:creationId xmlns:a16="http://schemas.microsoft.com/office/drawing/2014/main" id="{00000000-0008-0000-0700-0000C5F25300}"/>
            </a:ext>
          </a:extLst>
        </xdr:cNvPr>
        <xdr:cNvSpPr>
          <a:spLocks noChangeShapeType="1"/>
        </xdr:cNvSpPr>
      </xdr:nvSpPr>
      <xdr:spPr bwMode="auto">
        <a:xfrm>
          <a:off x="4279900" y="13601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1778000</xdr:colOff>
      <xdr:row>83</xdr:row>
      <xdr:rowOff>82550</xdr:rowOff>
    </xdr:from>
    <xdr:to>
      <xdr:col>9</xdr:col>
      <xdr:colOff>0</xdr:colOff>
      <xdr:row>83</xdr:row>
      <xdr:rowOff>82550</xdr:rowOff>
    </xdr:to>
    <xdr:sp macro="" textlink="">
      <xdr:nvSpPr>
        <xdr:cNvPr id="5501638" name="Line 303">
          <a:extLst>
            <a:ext uri="{FF2B5EF4-FFF2-40B4-BE49-F238E27FC236}">
              <a16:creationId xmlns:a16="http://schemas.microsoft.com/office/drawing/2014/main" id="{00000000-0008-0000-0700-0000C6F25300}"/>
            </a:ext>
          </a:extLst>
        </xdr:cNvPr>
        <xdr:cNvSpPr>
          <a:spLocks noChangeShapeType="1"/>
        </xdr:cNvSpPr>
      </xdr:nvSpPr>
      <xdr:spPr bwMode="auto">
        <a:xfrm flipV="1">
          <a:off x="6057900" y="13944600"/>
          <a:ext cx="1022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190500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501639" name="Line 304">
          <a:extLst>
            <a:ext uri="{FF2B5EF4-FFF2-40B4-BE49-F238E27FC236}">
              <a16:creationId xmlns:a16="http://schemas.microsoft.com/office/drawing/2014/main" id="{00000000-0008-0000-0700-0000C7F25300}"/>
            </a:ext>
          </a:extLst>
        </xdr:cNvPr>
        <xdr:cNvSpPr>
          <a:spLocks noChangeShapeType="1"/>
        </xdr:cNvSpPr>
      </xdr:nvSpPr>
      <xdr:spPr bwMode="auto">
        <a:xfrm flipV="1">
          <a:off x="6330950" y="142748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44450</xdr:colOff>
      <xdr:row>87</xdr:row>
      <xdr:rowOff>133350</xdr:rowOff>
    </xdr:from>
    <xdr:to>
      <xdr:col>9</xdr:col>
      <xdr:colOff>0</xdr:colOff>
      <xdr:row>87</xdr:row>
      <xdr:rowOff>133350</xdr:rowOff>
    </xdr:to>
    <xdr:sp macro="" textlink="">
      <xdr:nvSpPr>
        <xdr:cNvPr id="5501640" name="Line 305">
          <a:extLst>
            <a:ext uri="{FF2B5EF4-FFF2-40B4-BE49-F238E27FC236}">
              <a16:creationId xmlns:a16="http://schemas.microsoft.com/office/drawing/2014/main" id="{00000000-0008-0000-0700-0000C8F25300}"/>
            </a:ext>
          </a:extLst>
        </xdr:cNvPr>
        <xdr:cNvSpPr>
          <a:spLocks noChangeShapeType="1"/>
        </xdr:cNvSpPr>
      </xdr:nvSpPr>
      <xdr:spPr bwMode="auto">
        <a:xfrm flipV="1">
          <a:off x="6654800" y="14655800"/>
          <a:ext cx="425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488950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501641" name="Line 307">
          <a:extLst>
            <a:ext uri="{FF2B5EF4-FFF2-40B4-BE49-F238E27FC236}">
              <a16:creationId xmlns:a16="http://schemas.microsoft.com/office/drawing/2014/main" id="{00000000-0008-0000-0700-0000C9F25300}"/>
            </a:ext>
          </a:extLst>
        </xdr:cNvPr>
        <xdr:cNvSpPr>
          <a:spLocks noChangeShapeType="1"/>
        </xdr:cNvSpPr>
      </xdr:nvSpPr>
      <xdr:spPr bwMode="auto">
        <a:xfrm flipV="1">
          <a:off x="7080250" y="1493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44450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501642" name="Line 308">
          <a:extLst>
            <a:ext uri="{FF2B5EF4-FFF2-40B4-BE49-F238E27FC236}">
              <a16:creationId xmlns:a16="http://schemas.microsoft.com/office/drawing/2014/main" id="{00000000-0008-0000-0700-0000CAF25300}"/>
            </a:ext>
          </a:extLst>
        </xdr:cNvPr>
        <xdr:cNvSpPr>
          <a:spLocks noChangeShapeType="1"/>
        </xdr:cNvSpPr>
      </xdr:nvSpPr>
      <xdr:spPr bwMode="auto">
        <a:xfrm flipH="1" flipV="1">
          <a:off x="6654800" y="15252700"/>
          <a:ext cx="4381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8</xdr:col>
      <xdr:colOff>488950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501643" name="Line 309">
          <a:extLst>
            <a:ext uri="{FF2B5EF4-FFF2-40B4-BE49-F238E27FC236}">
              <a16:creationId xmlns:a16="http://schemas.microsoft.com/office/drawing/2014/main" id="{00000000-0008-0000-0700-0000CBF25300}"/>
            </a:ext>
          </a:extLst>
        </xdr:cNvPr>
        <xdr:cNvSpPr>
          <a:spLocks noChangeShapeType="1"/>
        </xdr:cNvSpPr>
      </xdr:nvSpPr>
      <xdr:spPr bwMode="auto">
        <a:xfrm>
          <a:off x="7080250" y="160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488950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501644" name="Line 310">
          <a:extLst>
            <a:ext uri="{FF2B5EF4-FFF2-40B4-BE49-F238E27FC236}">
              <a16:creationId xmlns:a16="http://schemas.microsoft.com/office/drawing/2014/main" id="{00000000-0008-0000-0700-0000CCF25300}"/>
            </a:ext>
          </a:extLst>
        </xdr:cNvPr>
        <xdr:cNvSpPr>
          <a:spLocks noChangeShapeType="1"/>
        </xdr:cNvSpPr>
      </xdr:nvSpPr>
      <xdr:spPr bwMode="auto">
        <a:xfrm>
          <a:off x="7080250" y="16725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222250</xdr:colOff>
      <xdr:row>89</xdr:row>
      <xdr:rowOff>88900</xdr:rowOff>
    </xdr:from>
    <xdr:to>
      <xdr:col>8</xdr:col>
      <xdr:colOff>463550</xdr:colOff>
      <xdr:row>89</xdr:row>
      <xdr:rowOff>88900</xdr:rowOff>
    </xdr:to>
    <xdr:sp macro="" textlink="">
      <xdr:nvSpPr>
        <xdr:cNvPr id="5501645" name="Line 278">
          <a:extLst>
            <a:ext uri="{FF2B5EF4-FFF2-40B4-BE49-F238E27FC236}">
              <a16:creationId xmlns:a16="http://schemas.microsoft.com/office/drawing/2014/main" id="{00000000-0008-0000-0700-0000CDF25300}"/>
            </a:ext>
          </a:extLst>
        </xdr:cNvPr>
        <xdr:cNvSpPr>
          <a:spLocks noChangeShapeType="1"/>
        </xdr:cNvSpPr>
      </xdr:nvSpPr>
      <xdr:spPr bwMode="auto">
        <a:xfrm>
          <a:off x="6832600" y="14935200"/>
          <a:ext cx="241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69850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501646" name="Group 232">
          <a:extLst>
            <a:ext uri="{FF2B5EF4-FFF2-40B4-BE49-F238E27FC236}">
              <a16:creationId xmlns:a16="http://schemas.microsoft.com/office/drawing/2014/main" id="{00000000-0008-0000-0700-0000CEF25300}"/>
            </a:ext>
          </a:extLst>
        </xdr:cNvPr>
        <xdr:cNvGrpSpPr>
          <a:grpSpLocks/>
        </xdr:cNvGrpSpPr>
      </xdr:nvGrpSpPr>
      <xdr:grpSpPr bwMode="auto">
        <a:xfrm>
          <a:off x="12909550" y="184150"/>
          <a:ext cx="2101850" cy="5127625"/>
          <a:chOff x="3421" y="5379"/>
          <a:chExt cx="2289" cy="5759"/>
        </a:xfrm>
      </xdr:grpSpPr>
      <xdr:grpSp>
        <xdr:nvGrpSpPr>
          <xdr:cNvPr id="5501685" name="Group 233">
            <a:extLst>
              <a:ext uri="{FF2B5EF4-FFF2-40B4-BE49-F238E27FC236}">
                <a16:creationId xmlns:a16="http://schemas.microsoft.com/office/drawing/2014/main" id="{00000000-0008-0000-0700-0000F5F2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03" name="Arc 234">
              <a:extLst>
                <a:ext uri="{FF2B5EF4-FFF2-40B4-BE49-F238E27FC236}">
                  <a16:creationId xmlns:a16="http://schemas.microsoft.com/office/drawing/2014/main" id="{00000000-0008-0000-0700-000007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04" name="Group 235">
              <a:extLst>
                <a:ext uri="{FF2B5EF4-FFF2-40B4-BE49-F238E27FC236}">
                  <a16:creationId xmlns:a16="http://schemas.microsoft.com/office/drawing/2014/main" id="{00000000-0008-0000-0700-000008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05" name="Line 236">
                <a:extLst>
                  <a:ext uri="{FF2B5EF4-FFF2-40B4-BE49-F238E27FC236}">
                    <a16:creationId xmlns:a16="http://schemas.microsoft.com/office/drawing/2014/main" id="{00000000-0008-0000-0700-000009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6" name="Line 237">
                <a:extLst>
                  <a:ext uri="{FF2B5EF4-FFF2-40B4-BE49-F238E27FC236}">
                    <a16:creationId xmlns:a16="http://schemas.microsoft.com/office/drawing/2014/main" id="{00000000-0008-0000-0700-00000A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7" name="Line 238">
                <a:extLst>
                  <a:ext uri="{FF2B5EF4-FFF2-40B4-BE49-F238E27FC236}">
                    <a16:creationId xmlns:a16="http://schemas.microsoft.com/office/drawing/2014/main" id="{00000000-0008-0000-0700-00000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8" name="Line 239">
                <a:extLst>
                  <a:ext uri="{FF2B5EF4-FFF2-40B4-BE49-F238E27FC236}">
                    <a16:creationId xmlns:a16="http://schemas.microsoft.com/office/drawing/2014/main" id="{00000000-0008-0000-0700-00000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9" name="Line 240">
                <a:extLst>
                  <a:ext uri="{FF2B5EF4-FFF2-40B4-BE49-F238E27FC236}">
                    <a16:creationId xmlns:a16="http://schemas.microsoft.com/office/drawing/2014/main" id="{00000000-0008-0000-0700-00000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686" name="Group 241">
            <a:extLst>
              <a:ext uri="{FF2B5EF4-FFF2-40B4-BE49-F238E27FC236}">
                <a16:creationId xmlns:a16="http://schemas.microsoft.com/office/drawing/2014/main" id="{00000000-0008-0000-0700-0000F6F2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696" name="Arc 242">
              <a:extLst>
                <a:ext uri="{FF2B5EF4-FFF2-40B4-BE49-F238E27FC236}">
                  <a16:creationId xmlns:a16="http://schemas.microsoft.com/office/drawing/2014/main" id="{00000000-0008-0000-0700-00000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697" name="Group 243">
              <a:extLst>
                <a:ext uri="{FF2B5EF4-FFF2-40B4-BE49-F238E27FC236}">
                  <a16:creationId xmlns:a16="http://schemas.microsoft.com/office/drawing/2014/main" id="{00000000-0008-0000-0700-00000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698" name="Line 244">
                <a:extLst>
                  <a:ext uri="{FF2B5EF4-FFF2-40B4-BE49-F238E27FC236}">
                    <a16:creationId xmlns:a16="http://schemas.microsoft.com/office/drawing/2014/main" id="{00000000-0008-0000-0700-00000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699" name="Line 245">
                <a:extLst>
                  <a:ext uri="{FF2B5EF4-FFF2-40B4-BE49-F238E27FC236}">
                    <a16:creationId xmlns:a16="http://schemas.microsoft.com/office/drawing/2014/main" id="{00000000-0008-0000-0700-00000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0" name="Line 246">
                <a:extLst>
                  <a:ext uri="{FF2B5EF4-FFF2-40B4-BE49-F238E27FC236}">
                    <a16:creationId xmlns:a16="http://schemas.microsoft.com/office/drawing/2014/main" id="{00000000-0008-0000-0700-00000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1" name="Line 247">
                <a:extLst>
                  <a:ext uri="{FF2B5EF4-FFF2-40B4-BE49-F238E27FC236}">
                    <a16:creationId xmlns:a16="http://schemas.microsoft.com/office/drawing/2014/main" id="{00000000-0008-0000-0700-00000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2" name="Line 248">
                <a:extLst>
                  <a:ext uri="{FF2B5EF4-FFF2-40B4-BE49-F238E27FC236}">
                    <a16:creationId xmlns:a16="http://schemas.microsoft.com/office/drawing/2014/main" id="{00000000-0008-0000-0700-00000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687" name="Line 249">
            <a:extLst>
              <a:ext uri="{FF2B5EF4-FFF2-40B4-BE49-F238E27FC236}">
                <a16:creationId xmlns:a16="http://schemas.microsoft.com/office/drawing/2014/main" id="{00000000-0008-0000-0700-0000F7F2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8" name="Line 250">
            <a:extLst>
              <a:ext uri="{FF2B5EF4-FFF2-40B4-BE49-F238E27FC236}">
                <a16:creationId xmlns:a16="http://schemas.microsoft.com/office/drawing/2014/main" id="{00000000-0008-0000-0700-0000F8F2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9" name="Line 251">
            <a:extLst>
              <a:ext uri="{FF2B5EF4-FFF2-40B4-BE49-F238E27FC236}">
                <a16:creationId xmlns:a16="http://schemas.microsoft.com/office/drawing/2014/main" id="{00000000-0008-0000-0700-0000F9F2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0" name="Line 252">
            <a:extLst>
              <a:ext uri="{FF2B5EF4-FFF2-40B4-BE49-F238E27FC236}">
                <a16:creationId xmlns:a16="http://schemas.microsoft.com/office/drawing/2014/main" id="{00000000-0008-0000-0700-0000FA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1" name="Line 253">
            <a:extLst>
              <a:ext uri="{FF2B5EF4-FFF2-40B4-BE49-F238E27FC236}">
                <a16:creationId xmlns:a16="http://schemas.microsoft.com/office/drawing/2014/main" id="{00000000-0008-0000-0700-0000FBF2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2" name="Line 254">
            <a:extLst>
              <a:ext uri="{FF2B5EF4-FFF2-40B4-BE49-F238E27FC236}">
                <a16:creationId xmlns:a16="http://schemas.microsoft.com/office/drawing/2014/main" id="{00000000-0008-0000-0700-0000FC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3" name="Line 255">
            <a:extLst>
              <a:ext uri="{FF2B5EF4-FFF2-40B4-BE49-F238E27FC236}">
                <a16:creationId xmlns:a16="http://schemas.microsoft.com/office/drawing/2014/main" id="{00000000-0008-0000-0700-0000FD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4" name="Line 256">
            <a:extLst>
              <a:ext uri="{FF2B5EF4-FFF2-40B4-BE49-F238E27FC236}">
                <a16:creationId xmlns:a16="http://schemas.microsoft.com/office/drawing/2014/main" id="{00000000-0008-0000-0700-0000FEF2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5" name="Line 257">
            <a:extLst>
              <a:ext uri="{FF2B5EF4-FFF2-40B4-BE49-F238E27FC236}">
                <a16:creationId xmlns:a16="http://schemas.microsoft.com/office/drawing/2014/main" id="{00000000-0008-0000-0700-0000FF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831850</xdr:colOff>
      <xdr:row>11</xdr:row>
      <xdr:rowOff>101600</xdr:rowOff>
    </xdr:from>
    <xdr:to>
      <xdr:col>18</xdr:col>
      <xdr:colOff>368300</xdr:colOff>
      <xdr:row>11</xdr:row>
      <xdr:rowOff>101600</xdr:rowOff>
    </xdr:to>
    <xdr:sp macro="" textlink="">
      <xdr:nvSpPr>
        <xdr:cNvPr id="5501647" name="Line 268">
          <a:extLst>
            <a:ext uri="{FF2B5EF4-FFF2-40B4-BE49-F238E27FC236}">
              <a16:creationId xmlns:a16="http://schemas.microsoft.com/office/drawing/2014/main" id="{00000000-0008-0000-0700-0000CFF25300}"/>
            </a:ext>
          </a:extLst>
        </xdr:cNvPr>
        <xdr:cNvSpPr>
          <a:spLocks noChangeShapeType="1"/>
        </xdr:cNvSpPr>
      </xdr:nvSpPr>
      <xdr:spPr bwMode="auto">
        <a:xfrm flipV="1">
          <a:off x="14408150" y="2032000"/>
          <a:ext cx="67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88900</xdr:colOff>
      <xdr:row>1</xdr:row>
      <xdr:rowOff>12700</xdr:rowOff>
    </xdr:from>
    <xdr:to>
      <xdr:col>19</xdr:col>
      <xdr:colOff>336550</xdr:colOff>
      <xdr:row>1</xdr:row>
      <xdr:rowOff>12700</xdr:rowOff>
    </xdr:to>
    <xdr:sp macro="" textlink="">
      <xdr:nvSpPr>
        <xdr:cNvPr id="5501648" name="Line 269">
          <a:extLst>
            <a:ext uri="{FF2B5EF4-FFF2-40B4-BE49-F238E27FC236}">
              <a16:creationId xmlns:a16="http://schemas.microsoft.com/office/drawing/2014/main" id="{00000000-0008-0000-0700-0000D0F25300}"/>
            </a:ext>
          </a:extLst>
        </xdr:cNvPr>
        <xdr:cNvSpPr>
          <a:spLocks noChangeShapeType="1"/>
        </xdr:cNvSpPr>
      </xdr:nvSpPr>
      <xdr:spPr bwMode="auto">
        <a:xfrm flipV="1">
          <a:off x="13665200" y="184150"/>
          <a:ext cx="2520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1054100</xdr:colOff>
      <xdr:row>1</xdr:row>
      <xdr:rowOff>12700</xdr:rowOff>
    </xdr:from>
    <xdr:to>
      <xdr:col>18</xdr:col>
      <xdr:colOff>1054100</xdr:colOff>
      <xdr:row>28</xdr:row>
      <xdr:rowOff>139700</xdr:rowOff>
    </xdr:to>
    <xdr:sp macro="" textlink="">
      <xdr:nvSpPr>
        <xdr:cNvPr id="5501649" name="Line 270">
          <a:extLst>
            <a:ext uri="{FF2B5EF4-FFF2-40B4-BE49-F238E27FC236}">
              <a16:creationId xmlns:a16="http://schemas.microsoft.com/office/drawing/2014/main" id="{00000000-0008-0000-0700-0000D1F25300}"/>
            </a:ext>
          </a:extLst>
        </xdr:cNvPr>
        <xdr:cNvSpPr>
          <a:spLocks noChangeShapeType="1"/>
        </xdr:cNvSpPr>
      </xdr:nvSpPr>
      <xdr:spPr bwMode="auto">
        <a:xfrm>
          <a:off x="15767050" y="184150"/>
          <a:ext cx="0" cy="47053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120650</xdr:colOff>
      <xdr:row>10</xdr:row>
      <xdr:rowOff>152400</xdr:rowOff>
    </xdr:from>
    <xdr:to>
      <xdr:col>18</xdr:col>
      <xdr:colOff>412750</xdr:colOff>
      <xdr:row>10</xdr:row>
      <xdr:rowOff>152400</xdr:rowOff>
    </xdr:to>
    <xdr:sp macro="" textlink="">
      <xdr:nvSpPr>
        <xdr:cNvPr id="5501650" name="Line 271">
          <a:extLst>
            <a:ext uri="{FF2B5EF4-FFF2-40B4-BE49-F238E27FC236}">
              <a16:creationId xmlns:a16="http://schemas.microsoft.com/office/drawing/2014/main" id="{00000000-0008-0000-0700-0000D2F25300}"/>
            </a:ext>
          </a:extLst>
        </xdr:cNvPr>
        <xdr:cNvSpPr>
          <a:spLocks noChangeShapeType="1"/>
        </xdr:cNvSpPr>
      </xdr:nvSpPr>
      <xdr:spPr bwMode="auto">
        <a:xfrm>
          <a:off x="13696950" y="1911350"/>
          <a:ext cx="1428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152400</xdr:colOff>
      <xdr:row>0</xdr:row>
      <xdr:rowOff>158750</xdr:rowOff>
    </xdr:from>
    <xdr:to>
      <xdr:col>17</xdr:col>
      <xdr:colOff>152400</xdr:colOff>
      <xdr:row>10</xdr:row>
      <xdr:rowOff>139700</xdr:rowOff>
    </xdr:to>
    <xdr:sp macro="" textlink="">
      <xdr:nvSpPr>
        <xdr:cNvPr id="5501651" name="Line 272">
          <a:extLst>
            <a:ext uri="{FF2B5EF4-FFF2-40B4-BE49-F238E27FC236}">
              <a16:creationId xmlns:a16="http://schemas.microsoft.com/office/drawing/2014/main" id="{00000000-0008-0000-0700-0000D3F25300}"/>
            </a:ext>
          </a:extLst>
        </xdr:cNvPr>
        <xdr:cNvSpPr>
          <a:spLocks noChangeShapeType="1"/>
        </xdr:cNvSpPr>
      </xdr:nvSpPr>
      <xdr:spPr bwMode="auto">
        <a:xfrm flipH="1">
          <a:off x="13728700" y="158750"/>
          <a:ext cx="0" cy="17399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234950</xdr:colOff>
      <xdr:row>31</xdr:row>
      <xdr:rowOff>95250</xdr:rowOff>
    </xdr:from>
    <xdr:to>
      <xdr:col>17</xdr:col>
      <xdr:colOff>82550</xdr:colOff>
      <xdr:row>31</xdr:row>
      <xdr:rowOff>95250</xdr:rowOff>
    </xdr:to>
    <xdr:sp macro="" textlink="">
      <xdr:nvSpPr>
        <xdr:cNvPr id="5501652" name="Line 277">
          <a:extLst>
            <a:ext uri="{FF2B5EF4-FFF2-40B4-BE49-F238E27FC236}">
              <a16:creationId xmlns:a16="http://schemas.microsoft.com/office/drawing/2014/main" id="{00000000-0008-0000-0700-0000D4F25300}"/>
            </a:ext>
          </a:extLst>
        </xdr:cNvPr>
        <xdr:cNvSpPr>
          <a:spLocks noChangeShapeType="1"/>
        </xdr:cNvSpPr>
      </xdr:nvSpPr>
      <xdr:spPr bwMode="auto">
        <a:xfrm>
          <a:off x="12998450" y="5359400"/>
          <a:ext cx="660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196850</xdr:colOff>
      <xdr:row>29</xdr:row>
      <xdr:rowOff>88900</xdr:rowOff>
    </xdr:from>
    <xdr:to>
      <xdr:col>18</xdr:col>
      <xdr:colOff>1035050</xdr:colOff>
      <xdr:row>29</xdr:row>
      <xdr:rowOff>88900</xdr:rowOff>
    </xdr:to>
    <xdr:sp macro="" textlink="">
      <xdr:nvSpPr>
        <xdr:cNvPr id="5501653" name="Line 280">
          <a:extLst>
            <a:ext uri="{FF2B5EF4-FFF2-40B4-BE49-F238E27FC236}">
              <a16:creationId xmlns:a16="http://schemas.microsoft.com/office/drawing/2014/main" id="{00000000-0008-0000-0700-0000D5F25300}"/>
            </a:ext>
          </a:extLst>
        </xdr:cNvPr>
        <xdr:cNvSpPr>
          <a:spLocks noChangeShapeType="1"/>
        </xdr:cNvSpPr>
      </xdr:nvSpPr>
      <xdr:spPr bwMode="auto">
        <a:xfrm>
          <a:off x="14909800" y="501015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508000</xdr:colOff>
      <xdr:row>20</xdr:row>
      <xdr:rowOff>0</xdr:rowOff>
    </xdr:from>
    <xdr:to>
      <xdr:col>17</xdr:col>
      <xdr:colOff>508000</xdr:colOff>
      <xdr:row>28</xdr:row>
      <xdr:rowOff>127000</xdr:rowOff>
    </xdr:to>
    <xdr:sp macro="" textlink="">
      <xdr:nvSpPr>
        <xdr:cNvPr id="5501654" name="Line 281">
          <a:extLst>
            <a:ext uri="{FF2B5EF4-FFF2-40B4-BE49-F238E27FC236}">
              <a16:creationId xmlns:a16="http://schemas.microsoft.com/office/drawing/2014/main" id="{00000000-0008-0000-0700-0000D6F25300}"/>
            </a:ext>
          </a:extLst>
        </xdr:cNvPr>
        <xdr:cNvSpPr>
          <a:spLocks noChangeShapeType="1"/>
        </xdr:cNvSpPr>
      </xdr:nvSpPr>
      <xdr:spPr bwMode="auto">
        <a:xfrm flipH="1">
          <a:off x="14084300" y="3422650"/>
          <a:ext cx="0" cy="14541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311150</xdr:colOff>
      <xdr:row>27</xdr:row>
      <xdr:rowOff>133350</xdr:rowOff>
    </xdr:from>
    <xdr:to>
      <xdr:col>16</xdr:col>
      <xdr:colOff>323850</xdr:colOff>
      <xdr:row>31</xdr:row>
      <xdr:rowOff>95250</xdr:rowOff>
    </xdr:to>
    <xdr:sp macro="" textlink="">
      <xdr:nvSpPr>
        <xdr:cNvPr id="5501655" name="Line 282">
          <a:extLst>
            <a:ext uri="{FF2B5EF4-FFF2-40B4-BE49-F238E27FC236}">
              <a16:creationId xmlns:a16="http://schemas.microsoft.com/office/drawing/2014/main" id="{00000000-0008-0000-0700-0000D7F25300}"/>
            </a:ext>
          </a:extLst>
        </xdr:cNvPr>
        <xdr:cNvSpPr>
          <a:spLocks noChangeShapeType="1"/>
        </xdr:cNvSpPr>
      </xdr:nvSpPr>
      <xdr:spPr bwMode="auto">
        <a:xfrm flipH="1">
          <a:off x="13074650" y="4711700"/>
          <a:ext cx="1270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730250</xdr:colOff>
      <xdr:row>20</xdr:row>
      <xdr:rowOff>0</xdr:rowOff>
    </xdr:from>
    <xdr:to>
      <xdr:col>16</xdr:col>
      <xdr:colOff>730250</xdr:colOff>
      <xdr:row>27</xdr:row>
      <xdr:rowOff>133350</xdr:rowOff>
    </xdr:to>
    <xdr:sp macro="" textlink="">
      <xdr:nvSpPr>
        <xdr:cNvPr id="5501656" name="Line 283">
          <a:extLst>
            <a:ext uri="{FF2B5EF4-FFF2-40B4-BE49-F238E27FC236}">
              <a16:creationId xmlns:a16="http://schemas.microsoft.com/office/drawing/2014/main" id="{00000000-0008-0000-0700-0000D8F25300}"/>
            </a:ext>
          </a:extLst>
        </xdr:cNvPr>
        <xdr:cNvSpPr>
          <a:spLocks noChangeShapeType="1"/>
        </xdr:cNvSpPr>
      </xdr:nvSpPr>
      <xdr:spPr bwMode="auto">
        <a:xfrm>
          <a:off x="13493750" y="3422650"/>
          <a:ext cx="0" cy="12890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69850</xdr:colOff>
      <xdr:row>31</xdr:row>
      <xdr:rowOff>95250</xdr:rowOff>
    </xdr:from>
    <xdr:to>
      <xdr:col>17</xdr:col>
      <xdr:colOff>69850</xdr:colOff>
      <xdr:row>32</xdr:row>
      <xdr:rowOff>0</xdr:rowOff>
    </xdr:to>
    <xdr:sp macro="" textlink="">
      <xdr:nvSpPr>
        <xdr:cNvPr id="5501657" name="Line 284">
          <a:extLst>
            <a:ext uri="{FF2B5EF4-FFF2-40B4-BE49-F238E27FC236}">
              <a16:creationId xmlns:a16="http://schemas.microsoft.com/office/drawing/2014/main" id="{00000000-0008-0000-0700-0000D9F25300}"/>
            </a:ext>
          </a:extLst>
        </xdr:cNvPr>
        <xdr:cNvSpPr>
          <a:spLocks noChangeShapeType="1"/>
        </xdr:cNvSpPr>
      </xdr:nvSpPr>
      <xdr:spPr bwMode="auto">
        <a:xfrm flipV="1">
          <a:off x="13646150" y="53594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29</xdr:row>
      <xdr:rowOff>88900</xdr:rowOff>
    </xdr:from>
    <xdr:to>
      <xdr:col>17</xdr:col>
      <xdr:colOff>946150</xdr:colOff>
      <xdr:row>31</xdr:row>
      <xdr:rowOff>158750</xdr:rowOff>
    </xdr:to>
    <xdr:sp macro="" textlink="">
      <xdr:nvSpPr>
        <xdr:cNvPr id="5501658" name="Line 285">
          <a:extLst>
            <a:ext uri="{FF2B5EF4-FFF2-40B4-BE49-F238E27FC236}">
              <a16:creationId xmlns:a16="http://schemas.microsoft.com/office/drawing/2014/main" id="{00000000-0008-0000-0700-0000DAF25300}"/>
            </a:ext>
          </a:extLst>
        </xdr:cNvPr>
        <xdr:cNvSpPr>
          <a:spLocks noChangeShapeType="1"/>
        </xdr:cNvSpPr>
      </xdr:nvSpPr>
      <xdr:spPr bwMode="auto">
        <a:xfrm flipH="1" flipV="1">
          <a:off x="14522450" y="5010150"/>
          <a:ext cx="0" cy="4127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88900</xdr:colOff>
      <xdr:row>31</xdr:row>
      <xdr:rowOff>127000</xdr:rowOff>
    </xdr:from>
    <xdr:to>
      <xdr:col>17</xdr:col>
      <xdr:colOff>958850</xdr:colOff>
      <xdr:row>31</xdr:row>
      <xdr:rowOff>127000</xdr:rowOff>
    </xdr:to>
    <xdr:sp macro="" textlink="">
      <xdr:nvSpPr>
        <xdr:cNvPr id="5501659" name="Line 286">
          <a:extLst>
            <a:ext uri="{FF2B5EF4-FFF2-40B4-BE49-F238E27FC236}">
              <a16:creationId xmlns:a16="http://schemas.microsoft.com/office/drawing/2014/main" id="{00000000-0008-0000-0700-0000DBF25300}"/>
            </a:ext>
          </a:extLst>
        </xdr:cNvPr>
        <xdr:cNvSpPr>
          <a:spLocks noChangeShapeType="1"/>
        </xdr:cNvSpPr>
      </xdr:nvSpPr>
      <xdr:spPr bwMode="auto">
        <a:xfrm flipV="1">
          <a:off x="13665200" y="5391150"/>
          <a:ext cx="869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666750</xdr:colOff>
      <xdr:row>16</xdr:row>
      <xdr:rowOff>57150</xdr:rowOff>
    </xdr:from>
    <xdr:to>
      <xdr:col>18</xdr:col>
      <xdr:colOff>514350</xdr:colOff>
      <xdr:row>16</xdr:row>
      <xdr:rowOff>57150</xdr:rowOff>
    </xdr:to>
    <xdr:sp macro="" textlink="">
      <xdr:nvSpPr>
        <xdr:cNvPr id="5501660" name="Line 287">
          <a:extLst>
            <a:ext uri="{FF2B5EF4-FFF2-40B4-BE49-F238E27FC236}">
              <a16:creationId xmlns:a16="http://schemas.microsoft.com/office/drawing/2014/main" id="{00000000-0008-0000-0700-0000DCF25300}"/>
            </a:ext>
          </a:extLst>
        </xdr:cNvPr>
        <xdr:cNvSpPr>
          <a:spLocks noChangeShapeType="1"/>
        </xdr:cNvSpPr>
      </xdr:nvSpPr>
      <xdr:spPr bwMode="auto">
        <a:xfrm flipV="1">
          <a:off x="14243050" y="2819400"/>
          <a:ext cx="9842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831850</xdr:colOff>
      <xdr:row>14</xdr:row>
      <xdr:rowOff>127000</xdr:rowOff>
    </xdr:from>
    <xdr:to>
      <xdr:col>19</xdr:col>
      <xdr:colOff>19050</xdr:colOff>
      <xdr:row>14</xdr:row>
      <xdr:rowOff>127000</xdr:rowOff>
    </xdr:to>
    <xdr:sp macro="" textlink="">
      <xdr:nvSpPr>
        <xdr:cNvPr id="5501661" name="Line 289">
          <a:extLst>
            <a:ext uri="{FF2B5EF4-FFF2-40B4-BE49-F238E27FC236}">
              <a16:creationId xmlns:a16="http://schemas.microsoft.com/office/drawing/2014/main" id="{00000000-0008-0000-0700-0000DDF25300}"/>
            </a:ext>
          </a:extLst>
        </xdr:cNvPr>
        <xdr:cNvSpPr>
          <a:spLocks noChangeShapeType="1"/>
        </xdr:cNvSpPr>
      </xdr:nvSpPr>
      <xdr:spPr bwMode="auto">
        <a:xfrm>
          <a:off x="14408150" y="255905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679450</xdr:colOff>
      <xdr:row>15</xdr:row>
      <xdr:rowOff>127000</xdr:rowOff>
    </xdr:from>
    <xdr:to>
      <xdr:col>19</xdr:col>
      <xdr:colOff>44450</xdr:colOff>
      <xdr:row>15</xdr:row>
      <xdr:rowOff>127000</xdr:rowOff>
    </xdr:to>
    <xdr:sp macro="" textlink="">
      <xdr:nvSpPr>
        <xdr:cNvPr id="5501662" name="Line 290">
          <a:extLst>
            <a:ext uri="{FF2B5EF4-FFF2-40B4-BE49-F238E27FC236}">
              <a16:creationId xmlns:a16="http://schemas.microsoft.com/office/drawing/2014/main" id="{00000000-0008-0000-0700-0000DEF25300}"/>
            </a:ext>
          </a:extLst>
        </xdr:cNvPr>
        <xdr:cNvSpPr>
          <a:spLocks noChangeShapeType="1"/>
        </xdr:cNvSpPr>
      </xdr:nvSpPr>
      <xdr:spPr bwMode="auto">
        <a:xfrm>
          <a:off x="14255750" y="2724150"/>
          <a:ext cx="16383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666750</xdr:colOff>
      <xdr:row>18</xdr:row>
      <xdr:rowOff>69850</xdr:rowOff>
    </xdr:from>
    <xdr:to>
      <xdr:col>19</xdr:col>
      <xdr:colOff>44450</xdr:colOff>
      <xdr:row>18</xdr:row>
      <xdr:rowOff>69850</xdr:rowOff>
    </xdr:to>
    <xdr:sp macro="" textlink="">
      <xdr:nvSpPr>
        <xdr:cNvPr id="5501663" name="Line 291">
          <a:extLst>
            <a:ext uri="{FF2B5EF4-FFF2-40B4-BE49-F238E27FC236}">
              <a16:creationId xmlns:a16="http://schemas.microsoft.com/office/drawing/2014/main" id="{00000000-0008-0000-0700-0000DFF25300}"/>
            </a:ext>
          </a:extLst>
        </xdr:cNvPr>
        <xdr:cNvSpPr>
          <a:spLocks noChangeShapeType="1"/>
        </xdr:cNvSpPr>
      </xdr:nvSpPr>
      <xdr:spPr bwMode="auto">
        <a:xfrm>
          <a:off x="14243050" y="3162300"/>
          <a:ext cx="1651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501664" name="Line 292">
          <a:extLst>
            <a:ext uri="{FF2B5EF4-FFF2-40B4-BE49-F238E27FC236}">
              <a16:creationId xmlns:a16="http://schemas.microsoft.com/office/drawing/2014/main" id="{00000000-0008-0000-0700-0000E0F25300}"/>
            </a:ext>
          </a:extLst>
        </xdr:cNvPr>
        <xdr:cNvSpPr>
          <a:spLocks noChangeShapeType="1"/>
        </xdr:cNvSpPr>
      </xdr:nvSpPr>
      <xdr:spPr bwMode="auto">
        <a:xfrm>
          <a:off x="14522450" y="3397250"/>
          <a:ext cx="133985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1136650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501665" name="Line 293">
          <a:extLst>
            <a:ext uri="{FF2B5EF4-FFF2-40B4-BE49-F238E27FC236}">
              <a16:creationId xmlns:a16="http://schemas.microsoft.com/office/drawing/2014/main" id="{00000000-0008-0000-0700-0000E1F25300}"/>
            </a:ext>
          </a:extLst>
        </xdr:cNvPr>
        <xdr:cNvSpPr>
          <a:spLocks noChangeShapeType="1"/>
        </xdr:cNvSpPr>
      </xdr:nvSpPr>
      <xdr:spPr bwMode="auto">
        <a:xfrm flipH="1">
          <a:off x="14712950" y="17145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18</xdr:col>
      <xdr:colOff>190500</xdr:colOff>
      <xdr:row>1</xdr:row>
      <xdr:rowOff>0</xdr:rowOff>
    </xdr:from>
    <xdr:to>
      <xdr:col>18</xdr:col>
      <xdr:colOff>190500</xdr:colOff>
      <xdr:row>18</xdr:row>
      <xdr:rowOff>69850</xdr:rowOff>
    </xdr:to>
    <xdr:sp macro="" textlink="">
      <xdr:nvSpPr>
        <xdr:cNvPr id="5501666" name="Line 294">
          <a:extLst>
            <a:ext uri="{FF2B5EF4-FFF2-40B4-BE49-F238E27FC236}">
              <a16:creationId xmlns:a16="http://schemas.microsoft.com/office/drawing/2014/main" id="{00000000-0008-0000-0700-0000E2F25300}"/>
            </a:ext>
          </a:extLst>
        </xdr:cNvPr>
        <xdr:cNvSpPr>
          <a:spLocks noChangeShapeType="1"/>
        </xdr:cNvSpPr>
      </xdr:nvSpPr>
      <xdr:spPr bwMode="auto">
        <a:xfrm>
          <a:off x="14903450" y="171450"/>
          <a:ext cx="0" cy="29908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19050</xdr:colOff>
      <xdr:row>14</xdr:row>
      <xdr:rowOff>127000</xdr:rowOff>
    </xdr:from>
    <xdr:to>
      <xdr:col>19</xdr:col>
      <xdr:colOff>19050</xdr:colOff>
      <xdr:row>15</xdr:row>
      <xdr:rowOff>127000</xdr:rowOff>
    </xdr:to>
    <xdr:sp macro="" textlink="">
      <xdr:nvSpPr>
        <xdr:cNvPr id="5501667" name="Line 295">
          <a:extLst>
            <a:ext uri="{FF2B5EF4-FFF2-40B4-BE49-F238E27FC236}">
              <a16:creationId xmlns:a16="http://schemas.microsoft.com/office/drawing/2014/main" id="{00000000-0008-0000-0700-0000E3F25300}"/>
            </a:ext>
          </a:extLst>
        </xdr:cNvPr>
        <xdr:cNvSpPr>
          <a:spLocks noChangeShapeType="1"/>
        </xdr:cNvSpPr>
      </xdr:nvSpPr>
      <xdr:spPr bwMode="auto">
        <a:xfrm>
          <a:off x="15868650" y="255905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12700</xdr:colOff>
      <xdr:row>18</xdr:row>
      <xdr:rowOff>69850</xdr:rowOff>
    </xdr:from>
    <xdr:to>
      <xdr:col>19</xdr:col>
      <xdr:colOff>12700</xdr:colOff>
      <xdr:row>19</xdr:row>
      <xdr:rowOff>139700</xdr:rowOff>
    </xdr:to>
    <xdr:sp macro="" textlink="">
      <xdr:nvSpPr>
        <xdr:cNvPr id="5501668" name="Line 296">
          <a:extLst>
            <a:ext uri="{FF2B5EF4-FFF2-40B4-BE49-F238E27FC236}">
              <a16:creationId xmlns:a16="http://schemas.microsoft.com/office/drawing/2014/main" id="{00000000-0008-0000-0700-0000E4F25300}"/>
            </a:ext>
          </a:extLst>
        </xdr:cNvPr>
        <xdr:cNvSpPr>
          <a:spLocks noChangeShapeType="1"/>
        </xdr:cNvSpPr>
      </xdr:nvSpPr>
      <xdr:spPr bwMode="auto">
        <a:xfrm>
          <a:off x="15862300" y="3162300"/>
          <a:ext cx="0" cy="2349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838200</xdr:colOff>
      <xdr:row>11</xdr:row>
      <xdr:rowOff>101600</xdr:rowOff>
    </xdr:to>
    <xdr:sp macro="" textlink="">
      <xdr:nvSpPr>
        <xdr:cNvPr id="5501669" name="Line 297">
          <a:extLst>
            <a:ext uri="{FF2B5EF4-FFF2-40B4-BE49-F238E27FC236}">
              <a16:creationId xmlns:a16="http://schemas.microsoft.com/office/drawing/2014/main" id="{00000000-0008-0000-0700-0000E5F25300}"/>
            </a:ext>
          </a:extLst>
        </xdr:cNvPr>
        <xdr:cNvSpPr>
          <a:spLocks noChangeShapeType="1"/>
        </xdr:cNvSpPr>
      </xdr:nvSpPr>
      <xdr:spPr bwMode="auto">
        <a:xfrm>
          <a:off x="13576300" y="20320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</xdr:row>
      <xdr:rowOff>69850</xdr:rowOff>
    </xdr:from>
    <xdr:to>
      <xdr:col>17</xdr:col>
      <xdr:colOff>679450</xdr:colOff>
      <xdr:row>16</xdr:row>
      <xdr:rowOff>69850</xdr:rowOff>
    </xdr:to>
    <xdr:sp macro="" textlink="">
      <xdr:nvSpPr>
        <xdr:cNvPr id="5501670" name="Line 298">
          <a:extLst>
            <a:ext uri="{FF2B5EF4-FFF2-40B4-BE49-F238E27FC236}">
              <a16:creationId xmlns:a16="http://schemas.microsoft.com/office/drawing/2014/main" id="{00000000-0008-0000-0700-0000E6F25300}"/>
            </a:ext>
          </a:extLst>
        </xdr:cNvPr>
        <xdr:cNvSpPr>
          <a:spLocks noChangeShapeType="1"/>
        </xdr:cNvSpPr>
      </xdr:nvSpPr>
      <xdr:spPr bwMode="auto">
        <a:xfrm>
          <a:off x="13576300" y="2832100"/>
          <a:ext cx="6794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514350</xdr:colOff>
      <xdr:row>31</xdr:row>
      <xdr:rowOff>127000</xdr:rowOff>
    </xdr:from>
    <xdr:to>
      <xdr:col>17</xdr:col>
      <xdr:colOff>514350</xdr:colOff>
      <xdr:row>33</xdr:row>
      <xdr:rowOff>95250</xdr:rowOff>
    </xdr:to>
    <xdr:sp macro="" textlink="">
      <xdr:nvSpPr>
        <xdr:cNvPr id="5501671" name="Line 301">
          <a:extLst>
            <a:ext uri="{FF2B5EF4-FFF2-40B4-BE49-F238E27FC236}">
              <a16:creationId xmlns:a16="http://schemas.microsoft.com/office/drawing/2014/main" id="{00000000-0008-0000-0700-0000E7F25300}"/>
            </a:ext>
          </a:extLst>
        </xdr:cNvPr>
        <xdr:cNvSpPr>
          <a:spLocks noChangeShapeType="1"/>
        </xdr:cNvSpPr>
      </xdr:nvSpPr>
      <xdr:spPr bwMode="auto">
        <a:xfrm flipH="1">
          <a:off x="14090650" y="5391150"/>
          <a:ext cx="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152400</xdr:colOff>
      <xdr:row>2</xdr:row>
      <xdr:rowOff>76200</xdr:rowOff>
    </xdr:to>
    <xdr:sp macro="" textlink="">
      <xdr:nvSpPr>
        <xdr:cNvPr id="5501672" name="Line 302">
          <a:extLst>
            <a:ext uri="{FF2B5EF4-FFF2-40B4-BE49-F238E27FC236}">
              <a16:creationId xmlns:a16="http://schemas.microsoft.com/office/drawing/2014/main" id="{00000000-0008-0000-0700-0000E8F25300}"/>
            </a:ext>
          </a:extLst>
        </xdr:cNvPr>
        <xdr:cNvSpPr>
          <a:spLocks noChangeShapeType="1"/>
        </xdr:cNvSpPr>
      </xdr:nvSpPr>
      <xdr:spPr bwMode="auto">
        <a:xfrm>
          <a:off x="13576300" y="4191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1771650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501673" name="Line 303">
          <a:extLst>
            <a:ext uri="{FF2B5EF4-FFF2-40B4-BE49-F238E27FC236}">
              <a16:creationId xmlns:a16="http://schemas.microsoft.com/office/drawing/2014/main" id="{00000000-0008-0000-0700-0000E9F25300}"/>
            </a:ext>
          </a:extLst>
        </xdr:cNvPr>
        <xdr:cNvSpPr>
          <a:spLocks noChangeShapeType="1"/>
        </xdr:cNvSpPr>
      </xdr:nvSpPr>
      <xdr:spPr bwMode="auto">
        <a:xfrm flipV="1">
          <a:off x="14712950" y="1847850"/>
          <a:ext cx="1949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18</xdr:col>
      <xdr:colOff>190500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501674" name="Line 304">
          <a:extLst>
            <a:ext uri="{FF2B5EF4-FFF2-40B4-BE49-F238E27FC236}">
              <a16:creationId xmlns:a16="http://schemas.microsoft.com/office/drawing/2014/main" id="{00000000-0008-0000-0700-0000EAF25300}"/>
            </a:ext>
          </a:extLst>
        </xdr:cNvPr>
        <xdr:cNvSpPr>
          <a:spLocks noChangeShapeType="1"/>
        </xdr:cNvSpPr>
      </xdr:nvSpPr>
      <xdr:spPr bwMode="auto">
        <a:xfrm flipV="1">
          <a:off x="14903450" y="2178050"/>
          <a:ext cx="17589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15</xdr:row>
      <xdr:rowOff>44450</xdr:rowOff>
    </xdr:from>
    <xdr:to>
      <xdr:col>19</xdr:col>
      <xdr:colOff>787400</xdr:colOff>
      <xdr:row>15</xdr:row>
      <xdr:rowOff>44450</xdr:rowOff>
    </xdr:to>
    <xdr:sp macro="" textlink="">
      <xdr:nvSpPr>
        <xdr:cNvPr id="5501675" name="Line 305">
          <a:extLst>
            <a:ext uri="{FF2B5EF4-FFF2-40B4-BE49-F238E27FC236}">
              <a16:creationId xmlns:a16="http://schemas.microsoft.com/office/drawing/2014/main" id="{00000000-0008-0000-0700-0000EBF25300}"/>
            </a:ext>
          </a:extLst>
        </xdr:cNvPr>
        <xdr:cNvSpPr>
          <a:spLocks noChangeShapeType="1"/>
        </xdr:cNvSpPr>
      </xdr:nvSpPr>
      <xdr:spPr bwMode="auto">
        <a:xfrm flipV="1">
          <a:off x="15868650" y="2641600"/>
          <a:ext cx="768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19</xdr:row>
      <xdr:rowOff>25400</xdr:rowOff>
    </xdr:from>
    <xdr:to>
      <xdr:col>19</xdr:col>
      <xdr:colOff>806450</xdr:colOff>
      <xdr:row>19</xdr:row>
      <xdr:rowOff>25400</xdr:rowOff>
    </xdr:to>
    <xdr:sp macro="" textlink="">
      <xdr:nvSpPr>
        <xdr:cNvPr id="5501676" name="Line 308">
          <a:extLst>
            <a:ext uri="{FF2B5EF4-FFF2-40B4-BE49-F238E27FC236}">
              <a16:creationId xmlns:a16="http://schemas.microsoft.com/office/drawing/2014/main" id="{00000000-0008-0000-0700-0000ECF25300}"/>
            </a:ext>
          </a:extLst>
        </xdr:cNvPr>
        <xdr:cNvSpPr>
          <a:spLocks noChangeShapeType="1"/>
        </xdr:cNvSpPr>
      </xdr:nvSpPr>
      <xdr:spPr bwMode="auto">
        <a:xfrm flipH="1" flipV="1">
          <a:off x="15868650" y="3282950"/>
          <a:ext cx="787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15</xdr:col>
      <xdr:colOff>812800</xdr:colOff>
      <xdr:row>28</xdr:row>
      <xdr:rowOff>88900</xdr:rowOff>
    </xdr:from>
    <xdr:to>
      <xdr:col>16</xdr:col>
      <xdr:colOff>323850</xdr:colOff>
      <xdr:row>28</xdr:row>
      <xdr:rowOff>88900</xdr:rowOff>
    </xdr:to>
    <xdr:sp macro="" textlink="">
      <xdr:nvSpPr>
        <xdr:cNvPr id="5501677" name="Line 310">
          <a:extLst>
            <a:ext uri="{FF2B5EF4-FFF2-40B4-BE49-F238E27FC236}">
              <a16:creationId xmlns:a16="http://schemas.microsoft.com/office/drawing/2014/main" id="{00000000-0008-0000-0700-0000EDF25300}"/>
            </a:ext>
          </a:extLst>
        </xdr:cNvPr>
        <xdr:cNvSpPr>
          <a:spLocks noChangeShapeType="1"/>
        </xdr:cNvSpPr>
      </xdr:nvSpPr>
      <xdr:spPr bwMode="auto">
        <a:xfrm>
          <a:off x="12763500" y="48387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234950</xdr:colOff>
      <xdr:row>27</xdr:row>
      <xdr:rowOff>127000</xdr:rowOff>
    </xdr:from>
    <xdr:to>
      <xdr:col>17</xdr:col>
      <xdr:colOff>69850</xdr:colOff>
      <xdr:row>27</xdr:row>
      <xdr:rowOff>127000</xdr:rowOff>
    </xdr:to>
    <xdr:sp macro="" textlink="">
      <xdr:nvSpPr>
        <xdr:cNvPr id="5501678" name="Line 277">
          <a:extLst>
            <a:ext uri="{FF2B5EF4-FFF2-40B4-BE49-F238E27FC236}">
              <a16:creationId xmlns:a16="http://schemas.microsoft.com/office/drawing/2014/main" id="{00000000-0008-0000-0700-0000EEF25300}"/>
            </a:ext>
          </a:extLst>
        </xdr:cNvPr>
        <xdr:cNvSpPr>
          <a:spLocks noChangeShapeType="1"/>
        </xdr:cNvSpPr>
      </xdr:nvSpPr>
      <xdr:spPr bwMode="auto">
        <a:xfrm>
          <a:off x="12998450" y="4705350"/>
          <a:ext cx="647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412750</xdr:colOff>
      <xdr:row>28</xdr:row>
      <xdr:rowOff>127000</xdr:rowOff>
    </xdr:from>
    <xdr:to>
      <xdr:col>19</xdr:col>
      <xdr:colOff>82550</xdr:colOff>
      <xdr:row>28</xdr:row>
      <xdr:rowOff>127000</xdr:rowOff>
    </xdr:to>
    <xdr:sp macro="" textlink="">
      <xdr:nvSpPr>
        <xdr:cNvPr id="5501679" name="Line 280">
          <a:extLst>
            <a:ext uri="{FF2B5EF4-FFF2-40B4-BE49-F238E27FC236}">
              <a16:creationId xmlns:a16="http://schemas.microsoft.com/office/drawing/2014/main" id="{00000000-0008-0000-0700-0000EFF25300}"/>
            </a:ext>
          </a:extLst>
        </xdr:cNvPr>
        <xdr:cNvSpPr>
          <a:spLocks noChangeShapeType="1"/>
        </xdr:cNvSpPr>
      </xdr:nvSpPr>
      <xdr:spPr bwMode="auto">
        <a:xfrm flipV="1">
          <a:off x="13989050" y="4876800"/>
          <a:ext cx="194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165100</xdr:colOff>
      <xdr:row>30</xdr:row>
      <xdr:rowOff>44450</xdr:rowOff>
    </xdr:from>
    <xdr:to>
      <xdr:col>18</xdr:col>
      <xdr:colOff>927100</xdr:colOff>
      <xdr:row>30</xdr:row>
      <xdr:rowOff>44450</xdr:rowOff>
    </xdr:to>
    <xdr:sp macro="" textlink="">
      <xdr:nvSpPr>
        <xdr:cNvPr id="5501680" name="Line 280">
          <a:extLst>
            <a:ext uri="{FF2B5EF4-FFF2-40B4-BE49-F238E27FC236}">
              <a16:creationId xmlns:a16="http://schemas.microsoft.com/office/drawing/2014/main" id="{00000000-0008-0000-0700-0000F0F25300}"/>
            </a:ext>
          </a:extLst>
        </xdr:cNvPr>
        <xdr:cNvSpPr>
          <a:spLocks noChangeShapeType="1"/>
        </xdr:cNvSpPr>
      </xdr:nvSpPr>
      <xdr:spPr bwMode="auto">
        <a:xfrm>
          <a:off x="14878050" y="513715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1047750</xdr:colOff>
      <xdr:row>20</xdr:row>
      <xdr:rowOff>0</xdr:rowOff>
    </xdr:from>
    <xdr:to>
      <xdr:col>18</xdr:col>
      <xdr:colOff>158750</xdr:colOff>
      <xdr:row>30</xdr:row>
      <xdr:rowOff>44450</xdr:rowOff>
    </xdr:to>
    <xdr:sp macro="" textlink="">
      <xdr:nvSpPr>
        <xdr:cNvPr id="5501681" name="Rectangle 139">
          <a:extLst>
            <a:ext uri="{FF2B5EF4-FFF2-40B4-BE49-F238E27FC236}">
              <a16:creationId xmlns:a16="http://schemas.microsoft.com/office/drawing/2014/main" id="{00000000-0008-0000-0700-0000F1F25300}"/>
            </a:ext>
          </a:extLst>
        </xdr:cNvPr>
        <xdr:cNvSpPr>
          <a:spLocks noChangeArrowheads="1"/>
        </xdr:cNvSpPr>
      </xdr:nvSpPr>
      <xdr:spPr bwMode="auto">
        <a:xfrm>
          <a:off x="14624050" y="3422650"/>
          <a:ext cx="247650" cy="17145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</xdr:spPr>
    </xdr:sp>
    <xdr:clientData/>
  </xdr:twoCellAnchor>
  <xdr:twoCellAnchor>
    <xdr:from>
      <xdr:col>18</xdr:col>
      <xdr:colOff>927100</xdr:colOff>
      <xdr:row>1</xdr:row>
      <xdr:rowOff>12700</xdr:rowOff>
    </xdr:from>
    <xdr:to>
      <xdr:col>18</xdr:col>
      <xdr:colOff>927100</xdr:colOff>
      <xdr:row>29</xdr:row>
      <xdr:rowOff>69850</xdr:rowOff>
    </xdr:to>
    <xdr:sp macro="" textlink="">
      <xdr:nvSpPr>
        <xdr:cNvPr id="5501682" name="Line 270">
          <a:extLst>
            <a:ext uri="{FF2B5EF4-FFF2-40B4-BE49-F238E27FC236}">
              <a16:creationId xmlns:a16="http://schemas.microsoft.com/office/drawing/2014/main" id="{00000000-0008-0000-0700-0000F2F25300}"/>
            </a:ext>
          </a:extLst>
        </xdr:cNvPr>
        <xdr:cNvSpPr>
          <a:spLocks noChangeShapeType="1"/>
        </xdr:cNvSpPr>
      </xdr:nvSpPr>
      <xdr:spPr bwMode="auto">
        <a:xfrm flipH="1">
          <a:off x="15640050" y="184150"/>
          <a:ext cx="0" cy="48069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12700</xdr:colOff>
      <xdr:row>33</xdr:row>
      <xdr:rowOff>95250</xdr:rowOff>
    </xdr:from>
    <xdr:to>
      <xdr:col>17</xdr:col>
      <xdr:colOff>520700</xdr:colOff>
      <xdr:row>33</xdr:row>
      <xdr:rowOff>95250</xdr:rowOff>
    </xdr:to>
    <xdr:sp macro="" textlink="">
      <xdr:nvSpPr>
        <xdr:cNvPr id="5501683" name="Line 301">
          <a:extLst>
            <a:ext uri="{FF2B5EF4-FFF2-40B4-BE49-F238E27FC236}">
              <a16:creationId xmlns:a16="http://schemas.microsoft.com/office/drawing/2014/main" id="{00000000-0008-0000-0700-0000F3F25300}"/>
            </a:ext>
          </a:extLst>
        </xdr:cNvPr>
        <xdr:cNvSpPr>
          <a:spLocks noChangeShapeType="1"/>
        </xdr:cNvSpPr>
      </xdr:nvSpPr>
      <xdr:spPr bwMode="auto">
        <a:xfrm>
          <a:off x="13589000" y="5702300"/>
          <a:ext cx="5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787400</xdr:colOff>
      <xdr:row>1</xdr:row>
      <xdr:rowOff>19050</xdr:rowOff>
    </xdr:from>
    <xdr:to>
      <xdr:col>18</xdr:col>
      <xdr:colOff>787400</xdr:colOff>
      <xdr:row>30</xdr:row>
      <xdr:rowOff>38100</xdr:rowOff>
    </xdr:to>
    <xdr:sp macro="" textlink="">
      <xdr:nvSpPr>
        <xdr:cNvPr id="5501684" name="Line 270">
          <a:extLst>
            <a:ext uri="{FF2B5EF4-FFF2-40B4-BE49-F238E27FC236}">
              <a16:creationId xmlns:a16="http://schemas.microsoft.com/office/drawing/2014/main" id="{00000000-0008-0000-0700-0000F4F25300}"/>
            </a:ext>
          </a:extLst>
        </xdr:cNvPr>
        <xdr:cNvSpPr>
          <a:spLocks noChangeShapeType="1"/>
        </xdr:cNvSpPr>
      </xdr:nvSpPr>
      <xdr:spPr bwMode="auto">
        <a:xfrm>
          <a:off x="15500350" y="190500"/>
          <a:ext cx="0" cy="49403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lanete-sciences.org/espace/basedoc/" TargetMode="External"/><Relationship Id="rId1" Type="http://schemas.openxmlformats.org/officeDocument/2006/relationships/hyperlink" Target="http://en.wikipedia.org/wiki/Template:Numerical_integrator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W361"/>
  <sheetViews>
    <sheetView showGridLines="0" tabSelected="1" topLeftCell="B4" zoomScale="145" zoomScaleNormal="145" zoomScaleSheetLayoutView="100" workbookViewId="0">
      <selection activeCell="C13" sqref="C13:D13"/>
    </sheetView>
  </sheetViews>
  <sheetFormatPr baseColWidth="10" defaultColWidth="11.42578125" defaultRowHeight="12.75" x14ac:dyDescent="0.2"/>
  <cols>
    <col min="1" max="1" width="2.140625" style="24" customWidth="1"/>
    <col min="2" max="2" width="16.285156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42578125" style="26" customWidth="1"/>
    <col min="10" max="10" width="5.42578125" style="24" customWidth="1"/>
    <col min="11" max="11" width="2.140625" style="24" customWidth="1"/>
    <col min="12" max="12" width="17" style="24" customWidth="1"/>
    <col min="13" max="13" width="8.42578125" style="24" customWidth="1"/>
    <col min="14" max="15" width="4.28515625" style="24" customWidth="1"/>
    <col min="16" max="16" width="8.42578125" style="24" customWidth="1"/>
    <col min="17" max="18" width="2.140625" style="24" customWidth="1"/>
    <col min="19" max="16384" width="11.425781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63" t="s">
        <v>54</v>
      </c>
      <c r="D2" s="563"/>
      <c r="L2" s="147" t="str">
        <f>"Language/Langue"</f>
        <v>Language/Langue</v>
      </c>
      <c r="M2" s="539" t="s">
        <v>1</v>
      </c>
      <c r="N2" s="539"/>
      <c r="O2" s="539"/>
      <c r="P2" s="540"/>
      <c r="Q2" s="27"/>
    </row>
    <row r="3" spans="1:20" ht="12.75" customHeight="1" x14ac:dyDescent="0.2">
      <c r="A3" s="25"/>
      <c r="C3" s="563"/>
      <c r="D3" s="563"/>
      <c r="L3" s="550"/>
      <c r="M3" s="550"/>
      <c r="N3" s="45"/>
      <c r="Q3" s="27"/>
    </row>
    <row r="4" spans="1:20" ht="12.75" customHeight="1" x14ac:dyDescent="0.2">
      <c r="A4" s="25"/>
      <c r="C4" s="564" t="str">
        <f>IF(Lang="Français","Stabilité de fusée à ailerons",IF(Lang="English","Stability for rocket with fins",""))</f>
        <v>Stabilité de fusée à ailerons</v>
      </c>
      <c r="D4" s="564"/>
      <c r="L4" s="33"/>
      <c r="M4" s="539" t="s">
        <v>557</v>
      </c>
      <c r="N4" s="539"/>
      <c r="O4" s="539"/>
      <c r="P4" s="540"/>
      <c r="Q4" s="27"/>
    </row>
    <row r="5" spans="1:20" ht="12.75" customHeight="1" x14ac:dyDescent="0.25">
      <c r="A5" s="25"/>
      <c r="B5" s="28"/>
      <c r="C5" s="578"/>
      <c r="D5" s="578"/>
      <c r="L5" s="33"/>
      <c r="M5" s="570" t="s">
        <v>157</v>
      </c>
      <c r="N5" s="571"/>
      <c r="O5" s="553" t="s">
        <v>158</v>
      </c>
      <c r="P5" s="553"/>
      <c r="Q5" s="29"/>
    </row>
    <row r="6" spans="1:20" ht="12.75" customHeight="1" thickBot="1" x14ac:dyDescent="0.25">
      <c r="A6" s="25"/>
      <c r="B6" s="87"/>
      <c r="C6" s="588" t="str">
        <f>IF(Lang="Français","Remplir les cases jaunes",IF(Lang="English","Fill-in yellow cells only",""))</f>
        <v>Remplir les cases jaunes</v>
      </c>
      <c r="D6" s="588"/>
      <c r="L6" s="139" t="str">
        <f>IF(Lang="Français","Longueur      'L'",IF(Lang="English","Length      'L'",""))</f>
        <v>Longueur      'L'</v>
      </c>
      <c r="M6" s="559">
        <v>50</v>
      </c>
      <c r="N6" s="560"/>
      <c r="O6" s="545">
        <v>50</v>
      </c>
      <c r="P6" s="545"/>
      <c r="Q6" s="29"/>
    </row>
    <row r="7" spans="1:20" ht="12.75" customHeight="1" thickTop="1" thickBot="1" x14ac:dyDescent="0.25">
      <c r="A7" s="25"/>
      <c r="B7" s="31"/>
      <c r="C7" s="566" t="str">
        <f>IF(Lang="Français","Fusée",IF(Lang="English","Rocket",""))</f>
        <v>Fusée</v>
      </c>
      <c r="D7" s="567"/>
      <c r="L7" s="139" t="str">
        <f>IF(Lang="Français","Diamètre     'D1'",IF(Lang="English","Diameter 'D1'",""))</f>
        <v>Diamètre     'D1'</v>
      </c>
      <c r="M7" s="559">
        <f>D_og</f>
        <v>84</v>
      </c>
      <c r="N7" s="560"/>
      <c r="O7" s="545">
        <f>D_og</f>
        <v>84</v>
      </c>
      <c r="P7" s="545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89" t="s">
        <v>558</v>
      </c>
      <c r="D8" s="589"/>
      <c r="E8" s="90"/>
      <c r="K8" s="33"/>
      <c r="L8" s="139" t="str">
        <f>IF(Lang="Français","Diamètre     'D2'",IF(Lang="English","Diameter 'D2'",""))</f>
        <v>Diamètre     'D2'</v>
      </c>
      <c r="M8" s="559">
        <v>64</v>
      </c>
      <c r="N8" s="560"/>
      <c r="O8" s="545">
        <v>45</v>
      </c>
      <c r="P8" s="545"/>
      <c r="Q8" s="29"/>
    </row>
    <row r="9" spans="1:20" ht="12.75" customHeight="1" x14ac:dyDescent="0.2">
      <c r="A9" s="25"/>
      <c r="B9" s="138" t="s">
        <v>4</v>
      </c>
      <c r="C9" s="590" t="s">
        <v>559</v>
      </c>
      <c r="D9" s="590"/>
      <c r="E9" s="90"/>
      <c r="K9" s="33"/>
      <c r="L9" s="139" t="str">
        <f>IF(Lang="Français","Implantation 'x'",IF(Lang="English","Basement 'x'",""))</f>
        <v>Implantation 'x'</v>
      </c>
      <c r="M9" s="559">
        <v>500</v>
      </c>
      <c r="N9" s="560"/>
      <c r="O9" s="545">
        <f>XpropuRef-l_r</f>
        <v>900</v>
      </c>
      <c r="P9" s="545"/>
      <c r="Q9" s="29"/>
    </row>
    <row r="10" spans="1:20" ht="12.75" customHeight="1" x14ac:dyDescent="0.2">
      <c r="A10" s="25"/>
      <c r="B10" s="139" t="s">
        <v>55</v>
      </c>
      <c r="C10" s="568" t="s">
        <v>553</v>
      </c>
      <c r="D10" s="569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4000</v>
      </c>
      <c r="D11" s="34" t="s">
        <v>423</v>
      </c>
      <c r="E11" s="90"/>
      <c r="K11" s="33"/>
      <c r="L11" s="107"/>
      <c r="M11" s="224" t="str">
        <f>IF(Lang="Français","Propu plein",IF(Lang="English","Loaded Motor",""))</f>
        <v>Propu plein</v>
      </c>
      <c r="N11" s="551" t="str">
        <f>IF(Lang="Français","Propu vide",IF(Lang="English","Empty Motor",""))</f>
        <v>Propu vide</v>
      </c>
      <c r="O11" s="552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520</v>
      </c>
      <c r="D12" s="34" t="s">
        <v>423</v>
      </c>
      <c r="L12" s="108" t="str">
        <f>IF(Lang="Français","Masse propu",IF(Lang="English","Motor Mass",""))</f>
        <v>Masse propu</v>
      </c>
      <c r="M12" s="109">
        <f ca="1">MpropuPlein</f>
        <v>0.15989999999999999</v>
      </c>
      <c r="N12" s="543">
        <f ca="1">MpropuVide</f>
        <v>8.43E-2</v>
      </c>
      <c r="O12" s="544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722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59">
        <v>1000</v>
      </c>
      <c r="D13" s="560"/>
      <c r="L13" s="108" t="str">
        <f>IF(Lang="Français","CdM propu",IF(Lang="English","Motor CoM",""))</f>
        <v>CdM propu</v>
      </c>
      <c r="M13" s="111">
        <f ca="1">XpropuPlein</f>
        <v>114</v>
      </c>
      <c r="N13" s="541">
        <f ca="1">XpropuVide</f>
        <v>114</v>
      </c>
      <c r="O13" s="542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228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59">
        <f>D_og</f>
        <v>84</v>
      </c>
      <c r="D14" s="560"/>
      <c r="L14" s="108" t="str">
        <f>IF(Lang="Français","Masse fusée",IF(Lang="English","Rocket Mass",""))</f>
        <v>Masse fusée</v>
      </c>
      <c r="M14" s="112">
        <f ca="1">MasseSans+MpropuPlein</f>
        <v>4.1599000000000004</v>
      </c>
      <c r="N14" s="572">
        <f ca="1">MasseSans+MpropuVide</f>
        <v>4.0842999999999998</v>
      </c>
      <c r="O14" s="573"/>
      <c r="P14" s="109">
        <f>IF(OR(D11="sans propu",D11="without motor"),C11/1000,IF(OR(D11="avec propu vide",D11="with empty motor"),C11/1000-MpropuVide,IF(OR(D11="avec propu plein",D11="with loaded motor"),C11/1000-MpropuPlein,"Erreur")))</f>
        <v>4</v>
      </c>
      <c r="Q14" s="29"/>
      <c r="S14" s="386" t="str">
        <f>IF(Lang="Français","Bas",IF(Lang="English","Base",""))</f>
        <v>Bas</v>
      </c>
      <c r="T14" s="387">
        <f>XpropuRef</f>
        <v>950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532.14654198418225</v>
      </c>
      <c r="N15" s="574">
        <f ca="1">(XcgSans*MasseSans+(XpropuRef-Long_propu+XpropuVide)*MpropuVide)/MasseVide</f>
        <v>526.52224371373313</v>
      </c>
      <c r="O15" s="575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520</v>
      </c>
      <c r="Q15" s="29"/>
    </row>
    <row r="16" spans="1:20" ht="12.75" customHeight="1" thickTop="1" thickBot="1" x14ac:dyDescent="0.25">
      <c r="A16" s="25"/>
      <c r="C16" s="580" t="str">
        <f>IF(Lang="Français","Propulseur",IF(Lang="English","Motor",""))</f>
        <v>Propulseur</v>
      </c>
      <c r="D16" s="581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55</v>
      </c>
      <c r="C17" s="582" t="s">
        <v>549</v>
      </c>
      <c r="D17" s="583"/>
      <c r="L17" s="114"/>
      <c r="M17" s="576" t="s">
        <v>56</v>
      </c>
      <c r="N17" s="577"/>
      <c r="O17" s="554" t="s">
        <v>66</v>
      </c>
      <c r="P17" s="554"/>
      <c r="Q17" s="29"/>
      <c r="S17" s="386" t="str">
        <f>IF(Lang="Français","Haut","Top")</f>
        <v>Haut</v>
      </c>
      <c r="T17" s="387">
        <f>X_ail-m_ail</f>
        <v>830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45">
        <f>Long_tot-50</f>
        <v>950</v>
      </c>
      <c r="D18" s="545"/>
      <c r="K18" s="37"/>
      <c r="L18" s="108" t="str">
        <f>IF(Lang="Français","Coiffe",IF(Lang="English","Nose Cone",""))</f>
        <v>Coiffe</v>
      </c>
      <c r="M18" s="548">
        <f>IF(LEFT(Forme_ogive,5)="Parab",1/2*Long_ogive,IF(LEFT(Forme_ogive,4)="Ogiv",7/15*Long_ogive,IF(LEFT(Forme_ogive,3)="Con",2/3*Long_ogive)))</f>
        <v>183.33333333333331</v>
      </c>
      <c r="N18" s="549"/>
      <c r="O18" s="555">
        <f>2*POWER(D_og/D_ref, 2)</f>
        <v>2</v>
      </c>
      <c r="P18" s="555"/>
      <c r="Q18" s="29"/>
      <c r="S18" s="386" t="str">
        <f>IF(Lang="Français","Emplanture","Root edge")</f>
        <v>Emplanture</v>
      </c>
      <c r="T18" s="387">
        <f>m_ail</f>
        <v>170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58" t="str">
        <f>IF(Propu="Pandora (Pro24-6G)",IF(Lang="Français","C'Space Seulement",IF(Lang="English","C'Space only","")),"")</f>
        <v/>
      </c>
      <c r="D19" s="558"/>
      <c r="L19" s="108" t="str">
        <f>IF(Lang="Français","Ailerons",IF(Lang="English","Fins",""))</f>
        <v>Ailerons</v>
      </c>
      <c r="M19" s="548">
        <f>(XCpa*Cnail-0.5*XCpi*Cni)/Cnai</f>
        <v>924.2</v>
      </c>
      <c r="N19" s="549"/>
      <c r="O19" s="584">
        <f>Cnail-Cni/2</f>
        <v>13.821745828775716</v>
      </c>
      <c r="P19" s="585"/>
      <c r="Q19" s="29"/>
      <c r="S19" s="386" t="str">
        <f>IF(Lang="Français","Bas","Base")</f>
        <v>Bas</v>
      </c>
      <c r="T19" s="387">
        <f>X_ail</f>
        <v>1000</v>
      </c>
    </row>
    <row r="20" spans="1:20" ht="12.75" customHeight="1" thickTop="1" thickBot="1" x14ac:dyDescent="0.25">
      <c r="A20" s="25"/>
      <c r="B20" s="30"/>
      <c r="C20" s="586" t="str">
        <f>IF(Lang="Français","Coiffe",IF(Lang="English","Nose Cone",""))</f>
        <v>Coiffe</v>
      </c>
      <c r="D20" s="587"/>
      <c r="L20" s="108" t="str">
        <f>IF(Lang="Français","Ail bas entier",IF(Lang="English","Total Lower Fins",""))</f>
        <v>Ail bas entier</v>
      </c>
      <c r="M20" s="548">
        <f>X_ail-m_ail+p_ail*(m_ail+2*n_ail)/(3*(m_ail+n_ail))+(m_ail+n_ail-m_ail*n_ail/(m_ail+n_ail))/6</f>
        <v>924.2</v>
      </c>
      <c r="N20" s="549"/>
      <c r="O20" s="555">
        <f>4*Q_ail*POWER((E_ail/D_ref),2)*(1+D_ail/(2*E_ail+D_ail))/(1+SQRT(1+POWER(2*f_ail/(m_ail+n_ail),2)))</f>
        <v>13.821745828775716</v>
      </c>
      <c r="P20" s="555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61" t="s">
        <v>556</v>
      </c>
      <c r="D21" s="562"/>
      <c r="L21" s="108" t="str">
        <f>IF(Lang="Français","Ailerons haut",IF(Lang="English","Upper Fins",""))</f>
        <v>Ailerons haut</v>
      </c>
      <c r="M21" s="548">
        <f>IF(LEFT(Type_masquage,1)="M",0, X_can-m_can+p_can*(m_can+2*n_can)/(3*(m_can+n_can))+(m_can+n_can-m_can*n_can/(m_can+n_can))/6)</f>
        <v>0</v>
      </c>
      <c r="N21" s="549"/>
      <c r="O21" s="555">
        <f>IF(LEFT(Type_masquage,1)="M",0, 4*Q_can*POWER((E_can/D_ref),2)*(1+D_can/(2*E_can+D_can))/(1+SQRT(1+POWER(2*f_can/(m_can+n_can),2))))</f>
        <v>0</v>
      </c>
      <c r="P21" s="555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59">
        <v>275</v>
      </c>
      <c r="D22" s="560"/>
      <c r="L22" s="108" t="str">
        <f>IF(Lang="Français","Partie masquée",IF(Lang="English","Interation zone",""))</f>
        <v>Partie masquée</v>
      </c>
      <c r="M22" s="565">
        <f>IF(LEFT(Type_masquage,1)="B", X_int-m_int+p_int*(m_int+2*n_int)/(3*(m_int+n_int))+(m_int+n_int-m_int*n_int/(m_int+n_int))/6, 0 )</f>
        <v>0</v>
      </c>
      <c r="N22" s="565"/>
      <c r="O22" s="584">
        <f>IF(LEFT(Type_masquage,1)="B", 4*Q_int*POWER((E_int/D_ref),2)*(1+D_int/(2*E_int+D_int))/(1+SQRT(1+POWER(2*f_int/(m_int+n_int),2))), 0 )</f>
        <v>0</v>
      </c>
      <c r="P22" s="585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59">
        <v>84</v>
      </c>
      <c r="D23" s="560"/>
      <c r="L23" s="108" t="s">
        <v>157</v>
      </c>
      <c r="M23" s="548">
        <f>IF(OR(RIGHT(Nb_diam,1)=",",D2j=0),0, X_j+l_j/3*(1+1/(1+D1j/D2j)) )</f>
        <v>0</v>
      </c>
      <c r="N23" s="549"/>
      <c r="O23" s="555">
        <f>IF(OR(RIGHT(Nb_diam,1)=",",D2j=0),0,2*(POWER(D2j/D_ref,2)-POWER(D1j/D_ref,2)))</f>
        <v>0</v>
      </c>
      <c r="P23" s="555"/>
      <c r="Q23" s="29"/>
    </row>
    <row r="24" spans="1:20" ht="12.75" customHeight="1" thickBot="1" x14ac:dyDescent="0.25">
      <c r="A24" s="25"/>
      <c r="L24" s="108" t="s">
        <v>158</v>
      </c>
      <c r="M24" s="548">
        <f>IF( OR(RIGHT(Nb_diam,1)=",",D2r=0), 0, X_r+l_r/3*(1+1/(1+D1r/D2r)) )</f>
        <v>0</v>
      </c>
      <c r="N24" s="549"/>
      <c r="O24" s="555">
        <f>IF( OR(RIGHT(Nb_diam,1)=",",D2r=0), 0, 2*(POWER(D2r/D_ref,2)-POWER(D1r/D_ref,2)) )</f>
        <v>0</v>
      </c>
      <c r="P24" s="555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</v>
      </c>
      <c r="D25" s="179" t="str">
        <f>IF(Lang="Français","Ailerons haut",IF(Lang="English","Upper Fins",""))</f>
        <v>Ailerons haut</v>
      </c>
      <c r="E25" s="180" t="s">
        <v>152</v>
      </c>
      <c r="L25" s="38"/>
      <c r="M25" s="38"/>
      <c r="N25" s="38"/>
      <c r="Q25" s="29"/>
      <c r="R25" s="38"/>
      <c r="S25" s="388" t="str">
        <f ca="1">IF(AND(Portee_balistique&gt;200,LEFT(Type_propu,3)="Min"),IF(Lang="Français","Fusée trop lègère !","Rocket too light"),"")</f>
        <v>Fusée trop lègère !</v>
      </c>
    </row>
    <row r="26" spans="1:20" ht="12.75" customHeight="1" thickTop="1" x14ac:dyDescent="0.2">
      <c r="A26" s="25"/>
      <c r="B26" s="30"/>
      <c r="C26" s="556" t="s">
        <v>424</v>
      </c>
      <c r="D26" s="557"/>
      <c r="F26" s="39">
        <f ca="1">TODAY()</f>
        <v>45883</v>
      </c>
      <c r="G26" s="137" t="s">
        <v>63</v>
      </c>
      <c r="H26" s="579" t="str">
        <f>IF(Lang="Français","Résultats",IF(Lang="English","Results",""))</f>
        <v>Résultats</v>
      </c>
      <c r="I26" s="579"/>
      <c r="J26" s="137" t="s">
        <v>64</v>
      </c>
      <c r="K26" s="32"/>
      <c r="L26" s="38"/>
      <c r="M26" s="38"/>
      <c r="N26" s="38"/>
      <c r="Q26" s="29"/>
      <c r="R26" s="38"/>
      <c r="S26" s="388" t="e">
        <f ca="1">IF(AND(Vsortie_de_rampe&lt;18, OR(LEFT(Type_fusee,1)=",",LEFT(Type_fusee,4)="Mini",LEFT(Type_fusee,1)="R")),IF(Lang="Français","Fusée trop lourde ou rampe trop courte !","Rocket too heavy or launch pad too small!"),"")</f>
        <v>#N/A</v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170</v>
      </c>
      <c r="D27" s="177">
        <v>70</v>
      </c>
      <c r="E27" s="146">
        <f>m_ail</f>
        <v>170</v>
      </c>
      <c r="F27" s="105" t="s">
        <v>65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46">
        <f>Long_tot/D_ref</f>
        <v>11.904761904761905</v>
      </c>
      <c r="I27" s="547"/>
      <c r="J27" s="104">
        <f>IF(RIGHT(Type_fusee,1)=".",35, IF(OR(LEFT(Type_fusee,1)="R",LEFT(Type_fusee,1)=",",LEFT(Type_fusee,4)="Mini"),20, IF(LEFT(Type_fusee,5)="Micro",30, IF(RIGHT(Type_fusee,1)=" ",100))))</f>
        <v>20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80</v>
      </c>
      <c r="D28" s="35">
        <v>10</v>
      </c>
      <c r="E28" s="146">
        <f>n_ail+(m_ail-n_ail)*(1-E_int/E_ail)</f>
        <v>129.09090909090909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15.821745828775716</v>
      </c>
      <c r="I28" s="510">
        <f>Cnail+Cnc+Cno+Cnj+Cnr</f>
        <v>15.821745828775716</v>
      </c>
      <c r="J28" s="104">
        <f>IF(RIGHT(Type_fusee,1)=".",40, IF(OR(LEFT(Type_fusee,1)="R",LEFT(Type_fusee,1)=",",LEFT(Type_fusee,4)="Mini"),30, IF(LEFT(Type_fusee,5)="Micro",30, IF(RIGHT(Type_fusee,1)=" ",30))))</f>
        <v>30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140</v>
      </c>
      <c r="D29" s="35">
        <v>40</v>
      </c>
      <c r="E29" s="146">
        <f>p_ail*E_int/E_ail</f>
        <v>63.636363636363633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1.5</v>
      </c>
      <c r="H29" s="97">
        <f ca="1">(XCp-XcgPlein)/D_ref</f>
        <v>3.5524019266622893</v>
      </c>
      <c r="I29" s="98">
        <f ca="1">(XCp0-XcgVide)/D_ref</f>
        <v>3.6193578584533501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110</v>
      </c>
      <c r="D30" s="35">
        <v>50</v>
      </c>
      <c r="E30" s="146">
        <f>IF(D_can/2+E_can&lt;=D_ail/2,0, IF(D_can/2+E_can&gt;=D_ail/2+E_ail,E_ail,  D_can/2+E_can - D_ail/2  ) )</f>
        <v>50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30</v>
      </c>
      <c r="H30" s="99">
        <f ca="1">MS_min*Cn</f>
        <v>56.205200365303895</v>
      </c>
      <c r="I30" s="96">
        <f ca="1">MS_max*Cn0</f>
        <v>57.264560099830902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4</v>
      </c>
      <c r="D31" s="35">
        <v>2</v>
      </c>
      <c r="E31" s="146">
        <f>ep_ail</f>
        <v>4</v>
      </c>
      <c r="F31" s="106" t="s">
        <v>56</v>
      </c>
      <c r="G31" s="103"/>
      <c r="H31" s="511">
        <f>(Cnai*XCpai+Cnc*XCpc+Cnj*XCpj+Cnr*XCpr+Cno*XCpo)/(Cnai+Cnc+Cnr+Cnj+Cno)</f>
        <v>830.54830382381454</v>
      </c>
      <c r="I31" s="511">
        <f>(Cnail*XCpa+Cnc*XCpc+Cnj*XCpj+Cnr*XCpr+Cno*XCpo)/(Cnail+Cnc+Cnr+Cnj+Cno)</f>
        <v>830.54830382381454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4</v>
      </c>
      <c r="E32" s="146">
        <f>IF(Q_ail=Q_can,Q_ail,FALSE)</f>
        <v>4</v>
      </c>
      <c r="F32" s="106" t="s">
        <v>67</v>
      </c>
      <c r="G32" s="103"/>
      <c r="H32" s="100">
        <f ca="1">(XCp-XcgPlein)/Long_tot*100</f>
        <v>29.84017618396323</v>
      </c>
      <c r="I32" s="101">
        <f ca="1">(XCp-XcgVide)/Long_tot*100</f>
        <v>30.402606011008139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</f>
        <v>1000</v>
      </c>
      <c r="D33" s="35">
        <v>700</v>
      </c>
      <c r="E33" s="146">
        <f>X_ail</f>
        <v>1000</v>
      </c>
      <c r="G33" s="24"/>
      <c r="H33" s="535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STABLE</v>
      </c>
      <c r="I33" s="536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f>D_ref</f>
        <v>84</v>
      </c>
      <c r="D34" s="35">
        <f>D_ref</f>
        <v>84</v>
      </c>
      <c r="E34" s="146">
        <f>D_ail</f>
        <v>84</v>
      </c>
      <c r="G34" s="24"/>
      <c r="H34" s="537"/>
      <c r="I34" s="538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145.34441853748632</v>
      </c>
      <c r="D35" s="145">
        <f>SQRT(POWER(p_can+n_can/2-m_can/2,2)+POWER(E_can,2))</f>
        <v>50.990195135927848</v>
      </c>
      <c r="E35" s="146">
        <f>SQRT(POWER(p_int+n_int/2-m_int/2,2)+POWER(E_int,2))</f>
        <v>66.065644789766523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269</v>
      </c>
      <c r="M36" s="392" t="str">
        <f>IF(ROUND(SUM(Propu!5:1228),0)=395253,"propu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544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181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68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397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398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424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425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69</v>
      </c>
      <c r="D123" s="45" t="s">
        <v>70</v>
      </c>
      <c r="E123" s="92" t="s">
        <v>71</v>
      </c>
      <c r="K123" s="45"/>
      <c r="R123" s="43"/>
    </row>
    <row r="124" spans="2:18" x14ac:dyDescent="0.2">
      <c r="B124" s="45" t="s">
        <v>73</v>
      </c>
      <c r="C124" s="46">
        <f>-Long_ogive</f>
        <v>-275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73</v>
      </c>
      <c r="C125" s="46">
        <f>-Long_ogive</f>
        <v>-275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74</v>
      </c>
      <c r="C126" s="46">
        <f>IF(AND(RIGHT(Nb_diam,1)=".",X_j), -X_j, C125 )</f>
        <v>-275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75</v>
      </c>
      <c r="C127" s="46">
        <f>IF(AND(RIGHT(Nb_diam,1)=".",X_j), -X_j-l_j, C126 )</f>
        <v>-275</v>
      </c>
      <c r="D127" s="46">
        <f>IF(AND(RIGHT(Nb_diam,1)=".",X_j), D2j/2, D126 )</f>
        <v>42</v>
      </c>
      <c r="E127" s="93">
        <f t="shared" si="0"/>
        <v>-42</v>
      </c>
      <c r="K127" s="46"/>
    </row>
    <row r="128" spans="2:18" x14ac:dyDescent="0.2">
      <c r="B128" s="45" t="s">
        <v>76</v>
      </c>
      <c r="C128" s="46">
        <f>IF(AND(RIGHT(Nb_diam,1)=".",X_r), -X_r, C127 )</f>
        <v>-275</v>
      </c>
      <c r="D128" s="46">
        <f>IF(AND(RIGHT(Nb_diam,1)=".",X_r), D1r/2, D127 )</f>
        <v>42</v>
      </c>
      <c r="E128" s="93">
        <f t="shared" si="0"/>
        <v>-42</v>
      </c>
      <c r="K128" s="46"/>
    </row>
    <row r="129" spans="2:11" x14ac:dyDescent="0.2">
      <c r="B129" s="45" t="s">
        <v>77</v>
      </c>
      <c r="C129" s="46">
        <f>IF(AND(RIGHT(Nb_diam,1)=".",X_r), -X_r-l_r, C128 )</f>
        <v>-275</v>
      </c>
      <c r="D129" s="46">
        <f>IF(AND(RIGHT(Nb_diam,1)=".",X_r), D2r/2, D128 )</f>
        <v>42</v>
      </c>
      <c r="E129" s="93">
        <f t="shared" si="0"/>
        <v>-42</v>
      </c>
      <c r="K129" s="46"/>
    </row>
    <row r="130" spans="2:11" x14ac:dyDescent="0.2">
      <c r="B130" s="45" t="s">
        <v>78</v>
      </c>
      <c r="C130" s="46">
        <f>-Long_tot</f>
        <v>-1000</v>
      </c>
      <c r="D130" s="46">
        <f>D129</f>
        <v>42</v>
      </c>
      <c r="E130" s="93">
        <f t="shared" si="0"/>
        <v>-42</v>
      </c>
      <c r="K130" s="46"/>
    </row>
    <row r="131" spans="2:11" x14ac:dyDescent="0.2">
      <c r="B131" s="45" t="s">
        <v>78</v>
      </c>
      <c r="C131" s="46">
        <f>-Long_tot</f>
        <v>-1000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79</v>
      </c>
      <c r="C132" s="197">
        <f>-X_ail+m_ail</f>
        <v>-830</v>
      </c>
      <c r="D132" s="197">
        <f>D_ail/2</f>
        <v>42</v>
      </c>
      <c r="E132" s="198">
        <f t="shared" si="0"/>
        <v>-42</v>
      </c>
      <c r="K132" s="46"/>
    </row>
    <row r="133" spans="2:11" x14ac:dyDescent="0.2">
      <c r="B133" s="185" t="s">
        <v>80</v>
      </c>
      <c r="C133" s="46">
        <f>-X_ail+m_ail-p_ail</f>
        <v>-970</v>
      </c>
      <c r="D133" s="46">
        <f>D_ail/2+E_ail</f>
        <v>152</v>
      </c>
      <c r="E133" s="199">
        <f t="shared" si="0"/>
        <v>-152</v>
      </c>
      <c r="K133" s="46"/>
    </row>
    <row r="134" spans="2:11" x14ac:dyDescent="0.2">
      <c r="B134" s="185" t="s">
        <v>81</v>
      </c>
      <c r="C134" s="46">
        <f>-X_ail+m_ail-p_ail-n_ail</f>
        <v>-1050</v>
      </c>
      <c r="D134" s="46">
        <f>D_ail/2+E_ail</f>
        <v>152</v>
      </c>
      <c r="E134" s="199">
        <f t="shared" si="0"/>
        <v>-152</v>
      </c>
      <c r="K134" s="46"/>
    </row>
    <row r="135" spans="2:11" x14ac:dyDescent="0.2">
      <c r="B135" s="185" t="s">
        <v>82</v>
      </c>
      <c r="C135" s="46">
        <f>-X_ail</f>
        <v>-1000</v>
      </c>
      <c r="D135" s="46">
        <f>D_ail/2</f>
        <v>42</v>
      </c>
      <c r="E135" s="199">
        <f t="shared" si="0"/>
        <v>-42</v>
      </c>
      <c r="K135" s="46"/>
    </row>
    <row r="136" spans="2:11" x14ac:dyDescent="0.2">
      <c r="B136" s="187" t="s">
        <v>79</v>
      </c>
      <c r="C136" s="200">
        <f>-X_ail+m_ail</f>
        <v>-830</v>
      </c>
      <c r="D136" s="200">
        <f>D_ail/2</f>
        <v>42</v>
      </c>
      <c r="E136" s="201">
        <f t="shared" si="0"/>
        <v>-42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-1083.3333333333333</v>
      </c>
      <c r="D137" s="207">
        <f>-D_ail/2-E_ail</f>
        <v>-152</v>
      </c>
      <c r="E137" s="93"/>
      <c r="K137" s="46"/>
    </row>
    <row r="138" spans="2:11" x14ac:dyDescent="0.2">
      <c r="B138" s="195" t="s">
        <v>167</v>
      </c>
      <c r="C138" s="46">
        <f>MIN(-X_ail,-X_ail+m_ail-p_ail-n_ail)-Long_tot/30</f>
        <v>-1083.3333333333333</v>
      </c>
      <c r="D138" s="208">
        <f>-D_ail/2-E_ail/2</f>
        <v>-97</v>
      </c>
      <c r="E138" s="93"/>
      <c r="K138" s="46"/>
    </row>
    <row r="139" spans="2:11" x14ac:dyDescent="0.2">
      <c r="B139" s="212" t="s">
        <v>163</v>
      </c>
      <c r="C139" s="200">
        <f>MIN(-X_ail,-X_ail+m_ail-p_ail-n_ail)-Long_tot/30</f>
        <v>-1083.3333333333333</v>
      </c>
      <c r="D139" s="209">
        <f>-D_ail/2</f>
        <v>-42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-830</v>
      </c>
      <c r="D140" s="207">
        <f>D_ail/2+E_ail+Long_tot/20</f>
        <v>202</v>
      </c>
      <c r="E140" s="93"/>
      <c r="K140" s="46"/>
    </row>
    <row r="141" spans="2:11" x14ac:dyDescent="0.2">
      <c r="B141" s="195" t="s">
        <v>169</v>
      </c>
      <c r="C141" s="46">
        <f>-X_ail+m_ail/2</f>
        <v>-915</v>
      </c>
      <c r="D141" s="208">
        <f>D_ail/2+E_ail+Long_tot/20</f>
        <v>202</v>
      </c>
      <c r="E141" s="93"/>
      <c r="K141" s="46"/>
    </row>
    <row r="142" spans="2:11" x14ac:dyDescent="0.2">
      <c r="B142" s="212" t="s">
        <v>170</v>
      </c>
      <c r="C142" s="200">
        <f>-X_ail</f>
        <v>-1000</v>
      </c>
      <c r="D142" s="209">
        <f>D_ail/2+E_ail+Long_tot/20</f>
        <v>202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-830</v>
      </c>
      <c r="D143" s="207">
        <f>-D_ail/2-E_ail-Long_tot/30</f>
        <v>-185.33333333333334</v>
      </c>
      <c r="E143" s="93"/>
      <c r="K143" s="46"/>
    </row>
    <row r="144" spans="2:11" x14ac:dyDescent="0.2">
      <c r="B144" s="195" t="s">
        <v>166</v>
      </c>
      <c r="C144" s="46">
        <f>-X_ail+m_ail-p_ail/2</f>
        <v>-900</v>
      </c>
      <c r="D144" s="208">
        <f>-D_ail/2-E_ail-Long_tot/30</f>
        <v>-185.33333333333334</v>
      </c>
      <c r="E144" s="93"/>
      <c r="K144" s="46"/>
    </row>
    <row r="145" spans="2:11" x14ac:dyDescent="0.2">
      <c r="B145" s="212" t="s">
        <v>164</v>
      </c>
      <c r="C145" s="200">
        <f>-X_ail+m_ail-p_ail</f>
        <v>-970</v>
      </c>
      <c r="D145" s="209">
        <f>-D_ail/2-E_ail-Long_tot/30</f>
        <v>-185.33333333333334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-970</v>
      </c>
      <c r="D146" s="207">
        <f>-D_ail/2-E_ail-Long_tot/20</f>
        <v>-202</v>
      </c>
      <c r="E146" s="93"/>
      <c r="K146" s="46"/>
    </row>
    <row r="147" spans="2:11" x14ac:dyDescent="0.2">
      <c r="B147" s="195" t="s">
        <v>168</v>
      </c>
      <c r="C147" s="46">
        <f>-X_ail+m_ail-p_ail-n_ail/2</f>
        <v>-1010</v>
      </c>
      <c r="D147" s="208">
        <f>-D_ail/2-E_ail-Long_tot/20</f>
        <v>-202</v>
      </c>
      <c r="E147" s="93"/>
      <c r="K147" s="46"/>
    </row>
    <row r="148" spans="2:11" x14ac:dyDescent="0.2">
      <c r="B148" s="212" t="s">
        <v>165</v>
      </c>
      <c r="C148" s="200">
        <f>-X_ail+m_ail-p_ail-n_ail</f>
        <v>-1050</v>
      </c>
      <c r="D148" s="209">
        <f>-D_ail/2-E_ail-Long_tot/20</f>
        <v>-202</v>
      </c>
      <c r="E148" s="93"/>
      <c r="K148" s="46"/>
    </row>
    <row r="149" spans="2:11" x14ac:dyDescent="0.2">
      <c r="B149" s="183" t="s">
        <v>83</v>
      </c>
      <c r="C149" s="197">
        <f ca="1">-XcgPlein</f>
        <v>-532.14654198418225</v>
      </c>
      <c r="D149" s="207">
        <v>0</v>
      </c>
      <c r="E149" s="93"/>
      <c r="K149" s="46"/>
    </row>
    <row r="150" spans="2:11" x14ac:dyDescent="0.2">
      <c r="B150" s="187" t="s">
        <v>84</v>
      </c>
      <c r="C150" s="200">
        <f ca="1">-XcgVide</f>
        <v>-526.52224371373313</v>
      </c>
      <c r="D150" s="209">
        <v>0</v>
      </c>
      <c r="E150" s="93"/>
      <c r="K150" s="46"/>
    </row>
    <row r="151" spans="2:11" x14ac:dyDescent="0.2">
      <c r="B151" s="183" t="s">
        <v>85</v>
      </c>
      <c r="C151" s="197">
        <f>-XCp</f>
        <v>-830.54830382381454</v>
      </c>
      <c r="D151" s="207">
        <v>0</v>
      </c>
      <c r="E151" s="93"/>
      <c r="K151" s="46"/>
    </row>
    <row r="152" spans="2:11" x14ac:dyDescent="0.2">
      <c r="B152" s="187" t="s">
        <v>85</v>
      </c>
      <c r="C152" s="200">
        <f>-XCp</f>
        <v>-830.54830382381454</v>
      </c>
      <c r="D152" s="209">
        <f>Cn*D_ref/CritCnmin</f>
        <v>88.601776641144014</v>
      </c>
      <c r="E152" s="93"/>
      <c r="K152" s="46"/>
    </row>
    <row r="153" spans="2:11" x14ac:dyDescent="0.2">
      <c r="B153" s="185" t="s">
        <v>422</v>
      </c>
      <c r="C153" s="46">
        <f>-XCp0</f>
        <v>-830.54830382381454</v>
      </c>
      <c r="D153" s="208">
        <f>Cn0*D_ref/CritCnmin</f>
        <v>88.601776641144014</v>
      </c>
      <c r="E153" s="93"/>
      <c r="K153" s="46"/>
    </row>
    <row r="154" spans="2:11" x14ac:dyDescent="0.2">
      <c r="B154" s="185" t="s">
        <v>422</v>
      </c>
      <c r="C154" s="46">
        <f>-XCp0</f>
        <v>-830.54830382381454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-529.33439284895769</v>
      </c>
      <c r="D155" s="207">
        <f>-D_ail/2-E_ail-Long_tot/20</f>
        <v>-202</v>
      </c>
      <c r="E155" s="93"/>
      <c r="K155" s="46"/>
    </row>
    <row r="156" spans="2:11" x14ac:dyDescent="0.2">
      <c r="B156" s="195" t="s">
        <v>171</v>
      </c>
      <c r="C156" s="46">
        <f ca="1">(C155+C157)/2</f>
        <v>-679.94134833638611</v>
      </c>
      <c r="D156" s="208">
        <f>-D_ail/2-E_ail-Long_tot/20</f>
        <v>-202</v>
      </c>
      <c r="E156" s="93"/>
      <c r="K156" s="46"/>
    </row>
    <row r="157" spans="2:11" x14ac:dyDescent="0.2">
      <c r="B157" s="212" t="s">
        <v>172</v>
      </c>
      <c r="C157" s="200">
        <f>-XCp</f>
        <v>-830.54830382381454</v>
      </c>
      <c r="D157" s="209">
        <f>-D_ail/2-E_ail-Long_tot/20</f>
        <v>-202</v>
      </c>
      <c r="E157" s="93"/>
      <c r="K157" s="46"/>
    </row>
    <row r="158" spans="2:11" x14ac:dyDescent="0.2">
      <c r="B158" s="183" t="s">
        <v>86</v>
      </c>
      <c r="C158" s="197">
        <f>IF(LEFT(Type_masquage,1)="M",0,-X_can+m_can)</f>
        <v>0</v>
      </c>
      <c r="D158" s="197">
        <f>IF(LEFT(Type_masquage,1)="M",0,D_ail/2)</f>
        <v>0</v>
      </c>
      <c r="E158" s="198">
        <f t="shared" ref="E158:E167" si="1">-D158</f>
        <v>0</v>
      </c>
      <c r="K158" s="46"/>
    </row>
    <row r="159" spans="2:11" x14ac:dyDescent="0.2">
      <c r="B159" s="185" t="s">
        <v>87</v>
      </c>
      <c r="C159" s="46">
        <f>IF(LEFT(Type_masquage,1)="M",0,-X_can+m_can-p_can)</f>
        <v>0</v>
      </c>
      <c r="D159" s="46">
        <f>IF(LEFT(Type_masquage,1)="M",0,D_ail/2+E_can)</f>
        <v>0</v>
      </c>
      <c r="E159" s="199">
        <f t="shared" si="1"/>
        <v>0</v>
      </c>
      <c r="K159" s="46"/>
    </row>
    <row r="160" spans="2:11" x14ac:dyDescent="0.2">
      <c r="B160" s="185" t="s">
        <v>88</v>
      </c>
      <c r="C160" s="46">
        <f>IF(LEFT(Type_masquage,1)="M",0,-X_can+m_can-p_can-n_can)</f>
        <v>0</v>
      </c>
      <c r="D160" s="46">
        <f>IF(LEFT(Type_masquage,1)="M",0,D_ail/2+E_can)</f>
        <v>0</v>
      </c>
      <c r="E160" s="199">
        <f t="shared" si="1"/>
        <v>0</v>
      </c>
      <c r="K160" s="46"/>
    </row>
    <row r="161" spans="2:11" x14ac:dyDescent="0.2">
      <c r="B161" s="185" t="s">
        <v>89</v>
      </c>
      <c r="C161" s="46">
        <f>IF(LEFT(Type_masquage,1)="M",0,-X_can)</f>
        <v>0</v>
      </c>
      <c r="D161" s="46">
        <f>IF(LEFT(Type_masquage,1)="M",0,D_ail/2)</f>
        <v>0</v>
      </c>
      <c r="E161" s="199">
        <f t="shared" si="1"/>
        <v>0</v>
      </c>
      <c r="K161" s="46"/>
    </row>
    <row r="162" spans="2:11" x14ac:dyDescent="0.2">
      <c r="B162" s="187" t="s">
        <v>86</v>
      </c>
      <c r="C162" s="200">
        <f>IF(LEFT(Type_masquage,1)="M",0,-X_can+m_can)</f>
        <v>0</v>
      </c>
      <c r="D162" s="200">
        <f>IF(LEFT(Type_masquage,1)="M",0,D_ail/2)</f>
        <v>0</v>
      </c>
      <c r="E162" s="201">
        <f t="shared" si="1"/>
        <v>0</v>
      </c>
      <c r="K162" s="46"/>
    </row>
    <row r="163" spans="2:11" x14ac:dyDescent="0.2">
      <c r="B163" s="183" t="s">
        <v>90</v>
      </c>
      <c r="C163" s="197">
        <f>IF(LEFT(Type_masquage,1)="B",-X_int+m_int,0)</f>
        <v>0</v>
      </c>
      <c r="D163" s="197">
        <f>IF(LEFT(Type_masquage,1)="B",D_int/2,0)</f>
        <v>0</v>
      </c>
      <c r="E163" s="198">
        <f t="shared" si="1"/>
        <v>0</v>
      </c>
      <c r="K163" s="46"/>
    </row>
    <row r="164" spans="2:11" x14ac:dyDescent="0.2">
      <c r="B164" s="185" t="s">
        <v>91</v>
      </c>
      <c r="C164" s="46">
        <f>IF(LEFT(Type_masquage,1)="B",-X_int+m_int-p_int,0)</f>
        <v>0</v>
      </c>
      <c r="D164" s="46">
        <f>IF(LEFT(Type_masquage,1)="B",D_int/2+E_int,0)</f>
        <v>0</v>
      </c>
      <c r="E164" s="199">
        <f t="shared" si="1"/>
        <v>0</v>
      </c>
      <c r="K164" s="46"/>
    </row>
    <row r="165" spans="2:11" x14ac:dyDescent="0.2">
      <c r="B165" s="185" t="s">
        <v>92</v>
      </c>
      <c r="C165" s="46">
        <f>IF(LEFT(Type_masquage,1)="B",-X_int+m_int-p_int-n_int,0)</f>
        <v>0</v>
      </c>
      <c r="D165" s="46">
        <f>IF(LEFT(Type_masquage,1)="B",D_int/2+E_int,0)</f>
        <v>0</v>
      </c>
      <c r="E165" s="199">
        <f t="shared" si="1"/>
        <v>0</v>
      </c>
      <c r="K165" s="46"/>
    </row>
    <row r="166" spans="2:11" x14ac:dyDescent="0.2">
      <c r="B166" s="185" t="s">
        <v>93</v>
      </c>
      <c r="C166" s="46">
        <f>IF(LEFT(Type_masquage,1)="B",-X_int,0)</f>
        <v>0</v>
      </c>
      <c r="D166" s="46">
        <f>IF(LEFT(Type_masquage,1)="B",D_int/2,0)</f>
        <v>0</v>
      </c>
      <c r="E166" s="199">
        <f t="shared" si="1"/>
        <v>0</v>
      </c>
      <c r="K166" s="46"/>
    </row>
    <row r="167" spans="2:11" x14ac:dyDescent="0.2">
      <c r="B167" s="187" t="s">
        <v>90</v>
      </c>
      <c r="C167" s="200">
        <f>IF(LEFT(Type_masquage,1)="B",-X_int+m_int,0)</f>
        <v>0</v>
      </c>
      <c r="D167" s="200">
        <f>IF(LEFT(Type_masquage,1)="B",D_int/2,0)</f>
        <v>0</v>
      </c>
      <c r="E167" s="201">
        <f t="shared" si="1"/>
        <v>0</v>
      </c>
      <c r="K167" s="46"/>
    </row>
    <row r="168" spans="2:11" x14ac:dyDescent="0.2">
      <c r="B168" s="45" t="s">
        <v>94</v>
      </c>
      <c r="C168" s="46">
        <f>-MAX(Long_tot, X_ail-m_ail+p_ail+n_ail, (E_ail+D_ail/2)*3.2)*1.01</f>
        <v>-1060.5</v>
      </c>
      <c r="D168" s="46">
        <f>MAX(E_ail+D_ail/2, Long_tot/3)</f>
        <v>333.33333333333331</v>
      </c>
      <c r="E168" s="93"/>
      <c r="K168" s="46"/>
    </row>
    <row r="169" spans="2:11" x14ac:dyDescent="0.2">
      <c r="B169" s="45" t="s">
        <v>94</v>
      </c>
      <c r="C169" s="46">
        <f>C168</f>
        <v>-1060.5</v>
      </c>
      <c r="D169" s="46">
        <f>-D168</f>
        <v>-333.33333333333331</v>
      </c>
      <c r="E169" s="93"/>
      <c r="K169" s="46"/>
    </row>
    <row r="170" spans="2:11" x14ac:dyDescent="0.2">
      <c r="B170" s="183" t="s">
        <v>95</v>
      </c>
      <c r="C170" s="197">
        <f ca="1">-XpropuRef+Long_propu</f>
        <v>-722</v>
      </c>
      <c r="D170" s="207">
        <f ca="1">-Diam_propu/2</f>
        <v>-12</v>
      </c>
      <c r="E170" s="93"/>
      <c r="K170" s="46"/>
    </row>
    <row r="171" spans="2:11" x14ac:dyDescent="0.2">
      <c r="B171" s="185" t="s">
        <v>96</v>
      </c>
      <c r="C171" s="46">
        <f ca="1">-XpropuRef+Long_propu</f>
        <v>-722</v>
      </c>
      <c r="D171" s="208">
        <f ca="1">Diam_propu/2</f>
        <v>12</v>
      </c>
      <c r="E171" s="93"/>
      <c r="K171" s="46"/>
    </row>
    <row r="172" spans="2:11" x14ac:dyDescent="0.2">
      <c r="B172" s="185" t="s">
        <v>97</v>
      </c>
      <c r="C172" s="46">
        <f>-XpropuRef</f>
        <v>-950</v>
      </c>
      <c r="D172" s="208">
        <f ca="1">Diam_propu/2</f>
        <v>12</v>
      </c>
      <c r="E172" s="93"/>
      <c r="K172" s="46"/>
    </row>
    <row r="173" spans="2:11" x14ac:dyDescent="0.2">
      <c r="B173" s="185" t="s">
        <v>98</v>
      </c>
      <c r="C173" s="46">
        <f>-XpropuRef</f>
        <v>-950</v>
      </c>
      <c r="D173" s="208">
        <f ca="1">-Diam_propu/2</f>
        <v>-12</v>
      </c>
      <c r="E173" s="93"/>
      <c r="K173" s="46"/>
    </row>
    <row r="174" spans="2:11" x14ac:dyDescent="0.2">
      <c r="B174" s="187" t="s">
        <v>99</v>
      </c>
      <c r="C174" s="200">
        <f ca="1">-XpropuRef+Long_propu</f>
        <v>-722</v>
      </c>
      <c r="D174" s="209">
        <f ca="1">-Diam_propu/2</f>
        <v>-12</v>
      </c>
      <c r="E174" s="93"/>
      <c r="F174" s="192" t="s">
        <v>160</v>
      </c>
      <c r="G174" s="193" t="s">
        <v>161</v>
      </c>
      <c r="H174" s="194" t="s">
        <v>162</v>
      </c>
      <c r="K174" s="46"/>
    </row>
    <row r="175" spans="2:11" x14ac:dyDescent="0.2">
      <c r="B175" s="183" t="s">
        <v>72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73</v>
      </c>
      <c r="C176" s="46">
        <f>-Long_ogive*0.1</f>
        <v>-27.5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73</v>
      </c>
      <c r="C177" s="46">
        <f>-Long_ogive/4</f>
        <v>-68.75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73</v>
      </c>
      <c r="C178" s="46">
        <f>-Long_ogive/2</f>
        <v>-137.5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73</v>
      </c>
      <c r="C179" s="46">
        <f>-Long_ogive*3/4</f>
        <v>-206.25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73</v>
      </c>
      <c r="C180" s="200">
        <f>-Long_ogive</f>
        <v>-275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100</v>
      </c>
      <c r="C181" s="45" t="s">
        <v>101</v>
      </c>
      <c r="D181" s="183" t="s">
        <v>100</v>
      </c>
      <c r="E181" s="204" t="s">
        <v>101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60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30</v>
      </c>
      <c r="K183" s="45"/>
    </row>
    <row r="184" spans="2:11" x14ac:dyDescent="0.2">
      <c r="B184" s="183">
        <v>0</v>
      </c>
      <c r="C184" s="202">
        <f>CritCnmax</f>
        <v>30</v>
      </c>
      <c r="D184" s="185">
        <v>2</v>
      </c>
      <c r="E184" s="205">
        <f t="shared" si="3"/>
        <v>15</v>
      </c>
      <c r="K184" s="45"/>
    </row>
    <row r="185" spans="2:11" x14ac:dyDescent="0.2">
      <c r="B185" s="187">
        <v>7</v>
      </c>
      <c r="C185" s="196">
        <f>CritCnmax</f>
        <v>30</v>
      </c>
      <c r="D185" s="185">
        <v>3</v>
      </c>
      <c r="E185" s="205">
        <f t="shared" si="3"/>
        <v>10</v>
      </c>
      <c r="K185" s="45"/>
    </row>
    <row r="186" spans="2:11" x14ac:dyDescent="0.2">
      <c r="B186" s="183">
        <f>CritMsmin</f>
        <v>1.5</v>
      </c>
      <c r="C186" s="202">
        <v>0</v>
      </c>
      <c r="D186" s="185">
        <v>5</v>
      </c>
      <c r="E186" s="205">
        <f t="shared" si="3"/>
        <v>6</v>
      </c>
      <c r="K186" s="45"/>
    </row>
    <row r="187" spans="2:11" x14ac:dyDescent="0.2">
      <c r="B187" s="187">
        <f>CritMsmin</f>
        <v>1.5</v>
      </c>
      <c r="C187" s="196">
        <v>55</v>
      </c>
      <c r="D187" s="185">
        <v>7</v>
      </c>
      <c r="E187" s="205">
        <f t="shared" si="3"/>
        <v>4.2857142857142856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3.5524019266622893</v>
      </c>
      <c r="C190" s="203">
        <f>Cn</f>
        <v>15.821745828775716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3.5524019266622893</v>
      </c>
      <c r="C191" s="515">
        <f>Cn0</f>
        <v>15.821745828775716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3.6193578584533501</v>
      </c>
      <c r="C192" s="515">
        <f>Cn0</f>
        <v>15.821745828775716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3.6193578584533501</v>
      </c>
      <c r="C193" s="515">
        <f>Cn</f>
        <v>15.821745828775716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3.5524019266622893</v>
      </c>
      <c r="C194" s="516">
        <f>Cn</f>
        <v>15.821745828775716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22.5</v>
      </c>
      <c r="D195" s="26"/>
      <c r="E195" s="90"/>
      <c r="K195" s="26"/>
    </row>
    <row r="196" spans="2:11" x14ac:dyDescent="0.2">
      <c r="B196" s="185">
        <f>MAX(CritMsmin,CritMsCnmin/C196)</f>
        <v>1.5</v>
      </c>
      <c r="C196" s="45">
        <f>(CritCnmin+CritCnmax)/2</f>
        <v>22.5</v>
      </c>
      <c r="D196" s="26"/>
      <c r="E196" s="90"/>
      <c r="K196" s="26"/>
    </row>
    <row r="197" spans="2:11" x14ac:dyDescent="0.2">
      <c r="B197" s="185">
        <f>MIN(CritMsmax,CritMsCnmax/C197)</f>
        <v>4.4444444444444446</v>
      </c>
      <c r="C197" s="189">
        <f>(CritCnmin+CritCnmax)/2</f>
        <v>22.5</v>
      </c>
    </row>
    <row r="198" spans="2:11" x14ac:dyDescent="0.2">
      <c r="B198" s="187">
        <v>7</v>
      </c>
      <c r="C198" s="190">
        <f>(CritCnmin+CritCnmax)/2</f>
        <v>22.5</v>
      </c>
    </row>
    <row r="199" spans="2:11" x14ac:dyDescent="0.2">
      <c r="B199" s="183">
        <f>(CritMsmin+CritMsmax)/2</f>
        <v>3.75</v>
      </c>
      <c r="C199" s="184">
        <v>0</v>
      </c>
    </row>
    <row r="200" spans="2:11" x14ac:dyDescent="0.2">
      <c r="B200" s="185">
        <f>(CritMsmin+CritMsmax)/2</f>
        <v>3.75</v>
      </c>
      <c r="C200" s="186">
        <f>MAX(CritCnmin,CritMsCnmin/B200)</f>
        <v>15</v>
      </c>
    </row>
    <row r="201" spans="2:11" x14ac:dyDescent="0.2">
      <c r="B201" s="185">
        <f>(CritMsmin+CritMsmax)/2</f>
        <v>3.75</v>
      </c>
      <c r="C201" s="186">
        <f>MIN(CritCnmax,CritMsCnmax/B201)</f>
        <v>26.666666666666668</v>
      </c>
    </row>
    <row r="202" spans="2:11" x14ac:dyDescent="0.2">
      <c r="B202" s="187">
        <f>(CritMsmin+CritMsmax)/2</f>
        <v>3.75</v>
      </c>
      <c r="C202" s="188">
        <v>55</v>
      </c>
    </row>
    <row r="203" spans="2:11" x14ac:dyDescent="0.2">
      <c r="D203" s="475"/>
    </row>
    <row r="204" spans="2:11" x14ac:dyDescent="0.2">
      <c r="B204" s="477" t="s">
        <v>405</v>
      </c>
      <c r="C204" s="31" t="b">
        <f ca="1">(OR(C205:C210))</f>
        <v>1</v>
      </c>
      <c r="D204" s="475"/>
    </row>
    <row r="205" spans="2:11" x14ac:dyDescent="0.2">
      <c r="B205" s="476" t="s">
        <v>402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119</v>
      </c>
      <c r="C206" s="475" t="b">
        <f ca="1">AND(Type_propu="Fusex",RIGHT(Type_fusee,1)=".")</f>
        <v>0</v>
      </c>
      <c r="D206" s="475"/>
    </row>
    <row r="207" spans="2:11" x14ac:dyDescent="0.2">
      <c r="B207" s="476" t="s">
        <v>403</v>
      </c>
      <c r="C207" s="475" t="b">
        <f ca="1">LEFT(Type_propu,5)=LEFT(Type_fusee,5)</f>
        <v>0</v>
      </c>
      <c r="D207" s="475"/>
    </row>
    <row r="208" spans="2:11" x14ac:dyDescent="0.2">
      <c r="B208" s="476" t="s">
        <v>404</v>
      </c>
      <c r="C208" s="475" t="b">
        <f ca="1">AND(RIGHT(Type_propu,1)="N",LEFT(Type_fusee,4)="Mini")</f>
        <v>1</v>
      </c>
      <c r="D208" s="475"/>
    </row>
    <row r="209" spans="1:3" x14ac:dyDescent="0.2">
      <c r="B209" s="476" t="s">
        <v>406</v>
      </c>
      <c r="C209" s="475" t="b">
        <f ca="1">AND(LEFT(Type_propu,5)="MiniR",LEFT(Type_fusee,1)="R")</f>
        <v>0</v>
      </c>
    </row>
    <row r="210" spans="1:3" x14ac:dyDescent="0.2">
      <c r="B210" s="476" t="s">
        <v>396</v>
      </c>
      <c r="C210" s="475" t="b">
        <f ca="1">AND(LEFT(Type_propu,4)="Mini",LEFT(Type_fusee,1)=",")</f>
        <v>0</v>
      </c>
    </row>
    <row r="223" spans="1:3" x14ac:dyDescent="0.2">
      <c r="A223" s="24" t="s">
        <v>463</v>
      </c>
    </row>
    <row r="226" spans="1:1" x14ac:dyDescent="0.2">
      <c r="A226" s="24" t="s">
        <v>476</v>
      </c>
    </row>
    <row r="228" spans="1:1" x14ac:dyDescent="0.2">
      <c r="A228" s="24" t="s">
        <v>477</v>
      </c>
    </row>
    <row r="230" spans="1:1" x14ac:dyDescent="0.2">
      <c r="A230" s="24" t="s">
        <v>478</v>
      </c>
    </row>
    <row r="232" spans="1:1" x14ac:dyDescent="0.2">
      <c r="A232" s="24" t="s">
        <v>479</v>
      </c>
    </row>
    <row r="233" spans="1:1" x14ac:dyDescent="0.2">
      <c r="A233" s="24" t="s">
        <v>480</v>
      </c>
    </row>
    <row r="234" spans="1:1" x14ac:dyDescent="0.2">
      <c r="A234" s="24" t="s">
        <v>481</v>
      </c>
    </row>
    <row r="235" spans="1:1" x14ac:dyDescent="0.2">
      <c r="A235" s="24" t="s">
        <v>482</v>
      </c>
    </row>
    <row r="236" spans="1:1" x14ac:dyDescent="0.2">
      <c r="A236" s="24" t="s">
        <v>483</v>
      </c>
    </row>
    <row r="237" spans="1:1" x14ac:dyDescent="0.2">
      <c r="A237" s="24" t="s">
        <v>484</v>
      </c>
    </row>
    <row r="238" spans="1:1" x14ac:dyDescent="0.2">
      <c r="A238" s="24" t="s">
        <v>184</v>
      </c>
    </row>
    <row r="239" spans="1:1" x14ac:dyDescent="0.2">
      <c r="A239" s="24" t="s">
        <v>485</v>
      </c>
    </row>
    <row r="240" spans="1:1" x14ac:dyDescent="0.2">
      <c r="A240" s="24" t="s">
        <v>486</v>
      </c>
    </row>
    <row r="241" spans="1:1" x14ac:dyDescent="0.2">
      <c r="A241" s="24" t="s">
        <v>184</v>
      </c>
    </row>
    <row r="242" spans="1:1" x14ac:dyDescent="0.2">
      <c r="A242" s="24" t="s">
        <v>487</v>
      </c>
    </row>
    <row r="244" spans="1:1" x14ac:dyDescent="0.2">
      <c r="A244" s="24" t="s">
        <v>488</v>
      </c>
    </row>
    <row r="246" spans="1:1" x14ac:dyDescent="0.2">
      <c r="A246" s="24" t="s">
        <v>489</v>
      </c>
    </row>
    <row r="248" spans="1:1" x14ac:dyDescent="0.2">
      <c r="A248" s="24" t="s">
        <v>490</v>
      </c>
    </row>
    <row r="249" spans="1:1" x14ac:dyDescent="0.2">
      <c r="A249" s="24" t="s">
        <v>491</v>
      </c>
    </row>
    <row r="250" spans="1:1" x14ac:dyDescent="0.2">
      <c r="A250" s="24" t="s">
        <v>492</v>
      </c>
    </row>
    <row r="251" spans="1:1" x14ac:dyDescent="0.2">
      <c r="A251" s="24" t="s">
        <v>493</v>
      </c>
    </row>
    <row r="252" spans="1:1" x14ac:dyDescent="0.2">
      <c r="A252" s="24" t="s">
        <v>494</v>
      </c>
    </row>
    <row r="254" spans="1:1" x14ac:dyDescent="0.2">
      <c r="A254" s="24" t="s">
        <v>495</v>
      </c>
    </row>
    <row r="255" spans="1:1" x14ac:dyDescent="0.2">
      <c r="A255" s="24" t="s">
        <v>496</v>
      </c>
    </row>
    <row r="256" spans="1:1" x14ac:dyDescent="0.2">
      <c r="A256" s="24" t="s">
        <v>497</v>
      </c>
    </row>
    <row r="257" spans="1:1" x14ac:dyDescent="0.2">
      <c r="A257" s="24" t="s">
        <v>498</v>
      </c>
    </row>
    <row r="258" spans="1:1" x14ac:dyDescent="0.2">
      <c r="A258" s="24" t="s">
        <v>499</v>
      </c>
    </row>
    <row r="261" spans="1:1" x14ac:dyDescent="0.2">
      <c r="A261" s="24" t="s">
        <v>500</v>
      </c>
    </row>
    <row r="262" spans="1:1" x14ac:dyDescent="0.2">
      <c r="A262" s="24" t="s">
        <v>501</v>
      </c>
    </row>
    <row r="263" spans="1:1" x14ac:dyDescent="0.2">
      <c r="A263" s="24" t="s">
        <v>502</v>
      </c>
    </row>
    <row r="264" spans="1:1" x14ac:dyDescent="0.2">
      <c r="A264" s="24" t="s">
        <v>503</v>
      </c>
    </row>
    <row r="265" spans="1:1" x14ac:dyDescent="0.2">
      <c r="A265" s="24" t="s">
        <v>504</v>
      </c>
    </row>
    <row r="267" spans="1:1" x14ac:dyDescent="0.2">
      <c r="A267" s="24" t="s">
        <v>497</v>
      </c>
    </row>
    <row r="268" spans="1:1" x14ac:dyDescent="0.2">
      <c r="A268" s="24" t="s">
        <v>498</v>
      </c>
    </row>
    <row r="269" spans="1:1" x14ac:dyDescent="0.2">
      <c r="A269" s="24" t="s">
        <v>505</v>
      </c>
    </row>
    <row r="272" spans="1:1" x14ac:dyDescent="0.2">
      <c r="A272" s="24" t="s">
        <v>465</v>
      </c>
    </row>
    <row r="273" spans="1:1" x14ac:dyDescent="0.2">
      <c r="A273" s="24" t="s">
        <v>466</v>
      </c>
    </row>
    <row r="275" spans="1:1" x14ac:dyDescent="0.2">
      <c r="A275" s="24" t="s">
        <v>506</v>
      </c>
    </row>
    <row r="277" spans="1:1" x14ac:dyDescent="0.2">
      <c r="A277" s="24" t="s">
        <v>505</v>
      </c>
    </row>
    <row r="280" spans="1:1" x14ac:dyDescent="0.2">
      <c r="A280" s="24" t="s">
        <v>467</v>
      </c>
    </row>
    <row r="281" spans="1:1" x14ac:dyDescent="0.2">
      <c r="A281" s="24" t="s">
        <v>468</v>
      </c>
    </row>
    <row r="282" spans="1:1" x14ac:dyDescent="0.2">
      <c r="A282" s="24" t="s">
        <v>507</v>
      </c>
    </row>
    <row r="283" spans="1:1" x14ac:dyDescent="0.2">
      <c r="A283" s="24" t="s">
        <v>508</v>
      </c>
    </row>
    <row r="284" spans="1:1" x14ac:dyDescent="0.2">
      <c r="A284" s="24" t="s">
        <v>505</v>
      </c>
    </row>
    <row r="285" spans="1:1" x14ac:dyDescent="0.2">
      <c r="A285" s="24" t="s">
        <v>469</v>
      </c>
    </row>
    <row r="287" spans="1:1" x14ac:dyDescent="0.2">
      <c r="A287" s="24" t="s">
        <v>509</v>
      </c>
    </row>
    <row r="288" spans="1:1" x14ac:dyDescent="0.2">
      <c r="A288" s="24" t="s">
        <v>507</v>
      </c>
    </row>
    <row r="289" spans="1:1" x14ac:dyDescent="0.2">
      <c r="A289" s="24" t="s">
        <v>510</v>
      </c>
    </row>
    <row r="291" spans="1:1" x14ac:dyDescent="0.2">
      <c r="A291" s="24" t="s">
        <v>505</v>
      </c>
    </row>
    <row r="294" spans="1:1" x14ac:dyDescent="0.2">
      <c r="A294" s="24" t="s">
        <v>511</v>
      </c>
    </row>
    <row r="295" spans="1:1" x14ac:dyDescent="0.2">
      <c r="A295" s="24" t="s">
        <v>512</v>
      </c>
    </row>
    <row r="296" spans="1:1" x14ac:dyDescent="0.2">
      <c r="A296" s="24" t="s">
        <v>513</v>
      </c>
    </row>
    <row r="298" spans="1:1" x14ac:dyDescent="0.2">
      <c r="A298" s="24" t="s">
        <v>505</v>
      </c>
    </row>
    <row r="301" spans="1:1" x14ac:dyDescent="0.2">
      <c r="A301" s="24" t="s">
        <v>514</v>
      </c>
    </row>
    <row r="302" spans="1:1" x14ac:dyDescent="0.2">
      <c r="A302" s="24" t="s">
        <v>515</v>
      </c>
    </row>
    <row r="304" spans="1:1" x14ac:dyDescent="0.2">
      <c r="A304" s="24" t="s">
        <v>516</v>
      </c>
    </row>
    <row r="305" spans="1:1" x14ac:dyDescent="0.2">
      <c r="A305" s="24" t="s">
        <v>517</v>
      </c>
    </row>
    <row r="306" spans="1:1" x14ac:dyDescent="0.2">
      <c r="A306" s="24" t="s">
        <v>505</v>
      </c>
    </row>
    <row r="309" spans="1:1" x14ac:dyDescent="0.2">
      <c r="A309" s="24" t="s">
        <v>514</v>
      </c>
    </row>
    <row r="310" spans="1:1" x14ac:dyDescent="0.2">
      <c r="A310" s="24" t="s">
        <v>518</v>
      </c>
    </row>
    <row r="311" spans="1:1" x14ac:dyDescent="0.2">
      <c r="A311" s="24" t="s">
        <v>514</v>
      </c>
    </row>
    <row r="312" spans="1:1" x14ac:dyDescent="0.2">
      <c r="A312" s="24" t="s">
        <v>519</v>
      </c>
    </row>
    <row r="314" spans="1:1" x14ac:dyDescent="0.2">
      <c r="A314" s="24" t="s">
        <v>520</v>
      </c>
    </row>
    <row r="316" spans="1:1" x14ac:dyDescent="0.2">
      <c r="A316" s="24" t="s">
        <v>505</v>
      </c>
    </row>
    <row r="319" spans="1:1" x14ac:dyDescent="0.2">
      <c r="A319" s="24" t="s">
        <v>514</v>
      </c>
    </row>
    <row r="320" spans="1:1" x14ac:dyDescent="0.2">
      <c r="A320" s="24" t="s">
        <v>521</v>
      </c>
    </row>
    <row r="321" spans="1:1" x14ac:dyDescent="0.2">
      <c r="A321" s="24" t="s">
        <v>522</v>
      </c>
    </row>
    <row r="322" spans="1:1" x14ac:dyDescent="0.2">
      <c r="A322" s="24" t="s">
        <v>523</v>
      </c>
    </row>
    <row r="324" spans="1:1" x14ac:dyDescent="0.2">
      <c r="A324" s="24" t="s">
        <v>505</v>
      </c>
    </row>
    <row r="326" spans="1:1" x14ac:dyDescent="0.2">
      <c r="A326" s="24" t="s">
        <v>464</v>
      </c>
    </row>
    <row r="329" spans="1:1" x14ac:dyDescent="0.2">
      <c r="A329" s="24" t="s">
        <v>470</v>
      </c>
    </row>
    <row r="330" spans="1:1" x14ac:dyDescent="0.2">
      <c r="A330" s="24" t="s">
        <v>471</v>
      </c>
    </row>
    <row r="331" spans="1:1" x14ac:dyDescent="0.2">
      <c r="A331" s="24" t="s">
        <v>524</v>
      </c>
    </row>
    <row r="332" spans="1:1" x14ac:dyDescent="0.2">
      <c r="A332" s="24" t="s">
        <v>525</v>
      </c>
    </row>
    <row r="333" spans="1:1" x14ac:dyDescent="0.2">
      <c r="A333" s="24" t="s">
        <v>526</v>
      </c>
    </row>
    <row r="334" spans="1:1" x14ac:dyDescent="0.2">
      <c r="A334" s="24" t="s">
        <v>527</v>
      </c>
    </row>
    <row r="335" spans="1:1" x14ac:dyDescent="0.2">
      <c r="A335" s="24" t="s">
        <v>528</v>
      </c>
    </row>
    <row r="336" spans="1:1" x14ac:dyDescent="0.2">
      <c r="A336" s="24" t="s">
        <v>481</v>
      </c>
    </row>
    <row r="337" spans="1:1" x14ac:dyDescent="0.2">
      <c r="A337" s="24" t="s">
        <v>472</v>
      </c>
    </row>
    <row r="340" spans="1:1" x14ac:dyDescent="0.2">
      <c r="A340" s="24" t="s">
        <v>473</v>
      </c>
    </row>
    <row r="342" spans="1:1" x14ac:dyDescent="0.2">
      <c r="A342" s="24" t="s">
        <v>529</v>
      </c>
    </row>
    <row r="343" spans="1:1" x14ac:dyDescent="0.2">
      <c r="A343" s="24" t="s">
        <v>530</v>
      </c>
    </row>
    <row r="344" spans="1:1" x14ac:dyDescent="0.2">
      <c r="A344" s="24" t="s">
        <v>531</v>
      </c>
    </row>
    <row r="345" spans="1:1" x14ac:dyDescent="0.2">
      <c r="A345" s="24" t="s">
        <v>532</v>
      </c>
    </row>
    <row r="346" spans="1:1" x14ac:dyDescent="0.2">
      <c r="A346" s="24" t="s">
        <v>533</v>
      </c>
    </row>
    <row r="347" spans="1:1" x14ac:dyDescent="0.2">
      <c r="A347" s="24" t="s">
        <v>481</v>
      </c>
    </row>
    <row r="348" spans="1:1" x14ac:dyDescent="0.2">
      <c r="A348" s="24" t="s">
        <v>474</v>
      </c>
    </row>
    <row r="349" spans="1:1" x14ac:dyDescent="0.2">
      <c r="A349" s="24" t="s">
        <v>534</v>
      </c>
    </row>
    <row r="350" spans="1:1" x14ac:dyDescent="0.2">
      <c r="A350" s="24" t="s">
        <v>535</v>
      </c>
    </row>
    <row r="352" spans="1:1" x14ac:dyDescent="0.2">
      <c r="A352" s="24" t="s">
        <v>505</v>
      </c>
    </row>
    <row r="355" spans="1:1" x14ac:dyDescent="0.2">
      <c r="A355" s="24" t="s">
        <v>464</v>
      </c>
    </row>
    <row r="361" spans="1:1" x14ac:dyDescent="0.2">
      <c r="A361" s="24" t="s">
        <v>475</v>
      </c>
    </row>
  </sheetData>
  <sheetProtection password="C6AC" sheet="1"/>
  <dataConsolidate/>
  <mergeCells count="56"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3:D13"/>
    <mergeCell ref="C8:D8"/>
    <mergeCell ref="C9:D9"/>
    <mergeCell ref="O20:P20"/>
    <mergeCell ref="M23:N23"/>
    <mergeCell ref="M24:N24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M5:N5"/>
    <mergeCell ref="M6:N6"/>
    <mergeCell ref="M20:N20"/>
    <mergeCell ref="N14:O14"/>
    <mergeCell ref="N15:O15"/>
    <mergeCell ref="M17:N17"/>
    <mergeCell ref="C14:D14"/>
    <mergeCell ref="C26:D26"/>
    <mergeCell ref="C18:D18"/>
    <mergeCell ref="C19:D19"/>
    <mergeCell ref="O23:P23"/>
    <mergeCell ref="O24:P24"/>
    <mergeCell ref="C22:D22"/>
    <mergeCell ref="C21:D21"/>
    <mergeCell ref="C23:D23"/>
    <mergeCell ref="H33:I34"/>
    <mergeCell ref="M4:P4"/>
    <mergeCell ref="M2:P2"/>
    <mergeCell ref="N13:O13"/>
    <mergeCell ref="N12:O12"/>
    <mergeCell ref="O9:P9"/>
    <mergeCell ref="O8:P8"/>
    <mergeCell ref="O7:P7"/>
    <mergeCell ref="H27:I27"/>
    <mergeCell ref="M18:N18"/>
    <mergeCell ref="L3:M3"/>
    <mergeCell ref="N11:O11"/>
    <mergeCell ref="O6:P6"/>
    <mergeCell ref="O5:P5"/>
    <mergeCell ref="O17:P17"/>
    <mergeCell ref="O18:P18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359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639</formula>
    </cfRule>
  </conditionalFormatting>
  <conditionalFormatting sqref="C14 C23:D23 C34">
    <cfRule type="cellIs" dxfId="49" priority="20" stopIfTrue="1" operator="equal">
      <formula>59</formula>
    </cfRule>
  </conditionalFormatting>
  <conditionalFormatting sqref="C17">
    <cfRule type="expression" dxfId="48" priority="150" stopIfTrue="1">
      <formula>C204</formula>
    </cfRule>
  </conditionalFormatting>
  <conditionalFormatting sqref="C27 C29">
    <cfRule type="cellIs" dxfId="47" priority="17" stopIfTrue="1" operator="equal">
      <formula>109</formula>
    </cfRule>
  </conditionalFormatting>
  <conditionalFormatting sqref="C28">
    <cfRule type="cellIs" dxfId="46" priority="18" stopIfTrue="1" operator="equal">
      <formula>59</formula>
    </cfRule>
  </conditionalFormatting>
  <conditionalFormatting sqref="C30">
    <cfRule type="cellIs" dxfId="45" priority="19" stopIfTrue="1" operator="equal">
      <formula>99</formula>
    </cfRule>
  </conditionalFormatting>
  <conditionalFormatting sqref="C13:D13 C18 C33">
    <cfRule type="cellIs" dxfId="44" priority="22" stopIfTrue="1" operator="equal">
      <formula>1001</formula>
    </cfRule>
  </conditionalFormatting>
  <conditionalFormatting sqref="C22:D22">
    <cfRule type="cellIs" dxfId="43" priority="21" stopIfTrue="1" operator="equal">
      <formula>199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0000000-0002-0000-0000-000000000000}">
      <formula1>3</formula1>
      <formula2>6</formula2>
    </dataValidation>
    <dataValidation type="decimal" operator="notEqual" allowBlank="1" showInputMessage="1" showErrorMessage="1" error="Tapez uniquement la longueur, sans l'unité." sqref="C29:D29" xr:uid="{00000000-0002-0000-0000-000001000000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00000000-0002-0000-0000-000002000000}">
      <formula1>0</formula1>
    </dataValidation>
    <dataValidation type="list" showInputMessage="1" showErrorMessage="1" sqref="C26:D26" xr:uid="{00000000-0002-0000-0000-000003000000}">
      <formula1>Menu_Empennage</formula1>
    </dataValidation>
    <dataValidation type="list" showInputMessage="1" showErrorMessage="1" sqref="C17:D17" xr:uid="{00000000-0002-0000-0000-000004000000}">
      <formula1>Liste_propu</formula1>
    </dataValidation>
    <dataValidation type="list" showInputMessage="1" showErrorMessage="1" sqref="M2" xr:uid="{00000000-0002-0000-0000-000005000000}">
      <formula1>Menu_Lang</formula1>
    </dataValidation>
    <dataValidation type="decimal" showInputMessage="1" showErrorMessage="1" errorTitle="Masse de la Fusée" error="Tapez uniquement la masse, sans l'unité." sqref="C11" xr:uid="{00000000-0002-0000-0000-000006000000}">
      <formula1>0</formula1>
      <formula2>50000</formula2>
    </dataValidation>
    <dataValidation type="decimal" operator="greaterThan" showInputMessage="1" showErrorMessage="1" error="Tapez uniquement la longueur, sans l'unité." sqref="C12 C13:D13 C22:D23" xr:uid="{00000000-0002-0000-0000-000007000000}">
      <formula1>0</formula1>
    </dataValidation>
    <dataValidation type="list" showInputMessage="1" showErrorMessage="1" sqref="D11:D12" xr:uid="{00000000-0002-0000-0000-000008000000}">
      <formula1>Menu_with_motor</formula1>
    </dataValidation>
    <dataValidation type="list" showInputMessage="1" showErrorMessage="1" sqref="C10:D10" xr:uid="{00000000-0002-0000-0000-000009000000}">
      <formula1>Menu_Type</formula1>
    </dataValidation>
    <dataValidation type="decimal" operator="greaterThan" allowBlank="1" showInputMessage="1" showErrorMessage="1" error="Tapez uniquement la longueur, sans l'unité." sqref="C18" xr:uid="{00000000-0002-0000-0000-00000A000000}">
      <formula1>0</formula1>
    </dataValidation>
    <dataValidation type="list" showInputMessage="1" showErrorMessage="1" sqref="C21:D21" xr:uid="{00000000-0002-0000-0000-00000B000000}">
      <formula1>Menu_Ogive</formula1>
    </dataValidation>
    <dataValidation type="list" showInputMessage="1" showErrorMessage="1" sqref="M4" xr:uid="{00000000-0002-0000-0000-00000C000000}">
      <formula1>Menu_Transitions</formula1>
    </dataValidation>
  </dataValidations>
  <hyperlinks>
    <hyperlink ref="M38" location="Trajecto!C25" display="Trajecto" xr:uid="{00000000-0004-0000-0000-000000000000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 r:id="rId1"/>
  <headerFooter alignWithMargins="0"/>
  <ignoredErrors>
    <ignoredError sqref="C34:D34" unlockedFormula="1"/>
    <ignoredError sqref="E18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4" name="Spinner 935">
              <controlPr defaultSize="0" print="0" autoPict="0">
                <anchor moveWithCells="1" sizeWithCells="1">
                  <from>
                    <xdr:col>3</xdr:col>
                    <xdr:colOff>752475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5" name="Spinner 941">
              <controlPr defaultSize="0" print="0" autoPict="0">
                <anchor moveWithCells="1" sizeWithCells="1">
                  <from>
                    <xdr:col>2</xdr:col>
                    <xdr:colOff>752475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6" name="Spinner 942">
              <controlPr defaultSize="0" print="0" autoPict="0">
                <anchor moveWithCells="1" sizeWithCells="1">
                  <from>
                    <xdr:col>2</xdr:col>
                    <xdr:colOff>752475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7" name="Spinner 943">
              <controlPr defaultSize="0" print="0" autoPict="0">
                <anchor moveWithCells="1" sizeWithCells="1">
                  <from>
                    <xdr:col>3</xdr:col>
                    <xdr:colOff>752475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8" name="Spinner 949">
              <controlPr defaultSize="0" print="0" autoPict="0">
                <anchor moveWithCells="1" sizeWithCells="1">
                  <from>
                    <xdr:col>2</xdr:col>
                    <xdr:colOff>752475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9" name="Spinner 955">
              <controlPr defaultSize="0" print="0" autoPict="0">
                <anchor moveWithCells="1" sizeWithCells="1">
                  <from>
                    <xdr:col>2</xdr:col>
                    <xdr:colOff>752475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10" name="Spinner 956">
              <controlPr defaultSize="0" print="0" autoPict="0">
                <anchor moveWithCells="1" sizeWithCells="1">
                  <from>
                    <xdr:col>2</xdr:col>
                    <xdr:colOff>752475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1" name="Spinner 957">
              <controlPr defaultSize="0" print="0" autoPict="0">
                <anchor moveWithCells="1" sizeWithCells="1">
                  <from>
                    <xdr:col>2</xdr:col>
                    <xdr:colOff>752475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2" name="Spinner 958">
              <controlPr defaultSize="0" print="0" autoPict="0">
                <anchor moveWithCells="1" sizeWithCells="1">
                  <from>
                    <xdr:col>2</xdr:col>
                    <xdr:colOff>752475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3" name="Spinner 959">
              <controlPr defaultSize="0" print="0" autoPict="0">
                <anchor moveWithCells="1" sizeWithCells="1">
                  <from>
                    <xdr:col>2</xdr:col>
                    <xdr:colOff>752475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4" name="Spinner 961">
              <controlPr defaultSize="0" print="0" autoPict="0">
                <anchor moveWithCells="1" sizeWithCells="1">
                  <from>
                    <xdr:col>3</xdr:col>
                    <xdr:colOff>752475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5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6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R199"/>
  <sheetViews>
    <sheetView showGridLines="0" zoomScale="85" zoomScaleNormal="85" workbookViewId="0">
      <selection activeCell="P43" sqref="P43"/>
    </sheetView>
  </sheetViews>
  <sheetFormatPr baseColWidth="10" defaultColWidth="11.42578125" defaultRowHeight="12.75" x14ac:dyDescent="0.2"/>
  <cols>
    <col min="1" max="1" width="2.140625" style="1" customWidth="1"/>
    <col min="2" max="2" width="16.28515625" style="1" customWidth="1"/>
    <col min="3" max="4" width="11.42578125" style="1"/>
    <col min="5" max="5" width="2.7109375" style="1" customWidth="1"/>
    <col min="6" max="7" width="12.85546875" style="1" customWidth="1"/>
    <col min="8" max="13" width="10.7109375" style="1" customWidth="1"/>
    <col min="14" max="15" width="2.140625" style="1" customWidth="1"/>
    <col min="16" max="17" width="14.28515625" style="1" customWidth="1"/>
    <col min="18" max="16384" width="11.425781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591" t="s">
        <v>0</v>
      </c>
      <c r="D2" s="591"/>
      <c r="F2" s="3"/>
      <c r="J2" s="4"/>
      <c r="N2" s="57"/>
    </row>
    <row r="3" spans="1:14" ht="12.75" customHeight="1" x14ac:dyDescent="0.2">
      <c r="A3" s="56"/>
      <c r="B3" s="2"/>
      <c r="C3" s="591"/>
      <c r="D3" s="591"/>
      <c r="H3" s="5"/>
      <c r="J3" s="4"/>
      <c r="N3" s="57"/>
    </row>
    <row r="4" spans="1:14" ht="12.75" customHeight="1" x14ac:dyDescent="0.2">
      <c r="A4" s="56"/>
      <c r="B4" s="2"/>
      <c r="C4" s="595" t="str">
        <f>IF(Lang="Français","Trajectographie de fusée",IF(Lang="English","Rocket Trajectography",""))</f>
        <v>Trajectographie de fusée</v>
      </c>
      <c r="D4" s="595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594" t="str">
        <f>IF(Lang="Français","Remplir les cases jaunes",IF(Lang="English","Fill-in yellow cells only",""))</f>
        <v>Remplir les cases jaunes</v>
      </c>
      <c r="D6" s="594"/>
      <c r="J6" s="4"/>
      <c r="N6" s="57"/>
    </row>
    <row r="7" spans="1:14" x14ac:dyDescent="0.2">
      <c r="A7" s="56"/>
      <c r="B7" s="6"/>
      <c r="C7" s="592" t="str">
        <f>IF(Lang="Français","Fusée",IF(Lang="English","Rocket",""))</f>
        <v>Fusée</v>
      </c>
      <c r="D7" s="592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593" t="str">
        <f>Nom</f>
        <v>SP02-Beta</v>
      </c>
      <c r="D8" s="593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593" t="str">
        <f>Club</f>
        <v>l'Aeroipsa</v>
      </c>
      <c r="D9" s="593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17">
        <f ca="1">MassePlein</f>
        <v>4.1599000000000004</v>
      </c>
      <c r="D10" s="617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20" t="str">
        <f>Propu</f>
        <v>Pandora (Pro24-6G BS)</v>
      </c>
      <c r="D11" s="621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592" t="str">
        <f>IF(Lang="Français","Traînée Aérdynamique",IF(Lang="English","Drag",""))</f>
        <v>Traînée Aérdynamique</v>
      </c>
      <c r="D13" s="592"/>
      <c r="N13" s="58"/>
    </row>
    <row r="14" spans="1:14" ht="12.75" customHeight="1" x14ac:dyDescent="0.2">
      <c r="A14" s="59"/>
      <c r="B14" s="140" t="s">
        <v>41</v>
      </c>
      <c r="C14" s="622">
        <f>(PI()*D_ref^2/4+E_ail*ep_ail*Q_ail)/10^6</f>
        <v>7.3017694409323953E-3</v>
      </c>
      <c r="D14" s="622"/>
      <c r="N14" s="58"/>
    </row>
    <row r="15" spans="1:14" ht="12.75" customHeight="1" x14ac:dyDescent="0.2">
      <c r="A15" s="59"/>
      <c r="B15" s="141" t="s">
        <v>5</v>
      </c>
      <c r="C15" s="615">
        <v>0.4</v>
      </c>
      <c r="D15" s="616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592" t="str">
        <f>IF(Lang="Français","Rampe de Lancement",IF(Lang="English","Launch Pad",""))</f>
        <v>Rampe de Lancement</v>
      </c>
      <c r="D17" s="592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19">
        <v>0</v>
      </c>
      <c r="D18" s="619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18">
        <v>80.569999999999993</v>
      </c>
      <c r="D19" s="618"/>
      <c r="N19" s="58"/>
    </row>
    <row r="20" spans="1:18" ht="12.75" customHeight="1" x14ac:dyDescent="0.2">
      <c r="A20" s="59"/>
      <c r="B20" s="140" t="s">
        <v>6</v>
      </c>
      <c r="C20" s="619">
        <v>0</v>
      </c>
      <c r="D20" s="619"/>
      <c r="N20" s="58"/>
    </row>
    <row r="21" spans="1:18" ht="12.75" customHeight="1" x14ac:dyDescent="0.2">
      <c r="A21" s="59"/>
      <c r="F21" s="384" t="e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>#N/A</v>
      </c>
      <c r="N21" s="58"/>
    </row>
    <row r="22" spans="1:18" x14ac:dyDescent="0.2">
      <c r="A22" s="59"/>
      <c r="C22" s="605" t="str">
        <f>IF(Lang="Français","DescenteSousParachute",IF(Lang="English","Over Parachute",""))</f>
        <v>DescenteSousParachute</v>
      </c>
      <c r="D22" s="606"/>
      <c r="F22" s="4"/>
      <c r="G22" s="50">
        <f ca="1">TODAY()</f>
        <v>45883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421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121</v>
      </c>
      <c r="F23" s="607" t="str">
        <f>IF(Lang="Français","Sortie de Rampe",IF(Lang="English","Launch-Pad Exit",""))</f>
        <v>Sortie de Rampe</v>
      </c>
      <c r="G23" s="608"/>
      <c r="H23" s="493"/>
      <c r="I23" s="493"/>
      <c r="J23" s="493"/>
      <c r="K23" s="494" t="e">
        <f ca="1">INDEX(vit_xz,MATCH("Sortie de rampe",Event,0))</f>
        <v>#N/A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4.0842999999999998</v>
      </c>
      <c r="D24" s="482">
        <f>IF(RIGHT(Type_fusee,1)=".",1,0.15)</f>
        <v>0.15</v>
      </c>
      <c r="E24" s="18" t="str">
        <f>IF(ABS(T_satellite-0.11-T_para)&lt;0.1,"Pb!","")</f>
        <v/>
      </c>
      <c r="F24" s="611" t="str">
        <f>IF(Lang="Français","Vit max &amp; Acc max",IF(Lang="English","Max Velocity &amp; Acc",""))</f>
        <v>Vit max &amp; Acc max</v>
      </c>
      <c r="G24" s="612"/>
      <c r="H24" s="115"/>
      <c r="I24" s="115"/>
      <c r="J24" s="115"/>
      <c r="K24" s="158">
        <f ca="1">MAX(vit_xz)</f>
        <v>150.91901372530018</v>
      </c>
      <c r="L24" s="496">
        <f ca="1">MAX(acc_xz)</f>
        <v>41.211274701340855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407</v>
      </c>
      <c r="D25" s="481"/>
      <c r="F25" s="613" t="str">
        <f>IF(Lang="Français","Largage du satellite",IF(Lang="English","Satellite separation",""))</f>
        <v>Largage du satellite</v>
      </c>
      <c r="G25" s="614"/>
      <c r="H25" s="152">
        <f>IF(T_satellite&lt;&gt;0,T_satellite,"")</f>
        <v>3.5</v>
      </c>
      <c r="I25" s="156" t="e">
        <f ca="1">IF(T_satellite&lt;&gt;0,INDEX(pos_z,MATCH("Satellite",Event_sat,0)),"")</f>
        <v>#N/A</v>
      </c>
      <c r="J25" s="154" t="e">
        <f ca="1">IF(T_satellite&lt;&gt;0,INDEX(pos_x,MATCH("Satellite",Event_sat,0)),"")</f>
        <v>#N/A</v>
      </c>
      <c r="K25" s="159" t="e">
        <f ca="1">IF(T_satellite&lt;&gt;0,INDEX(vit_xz,MATCH("Satellite",Event_sat,0)),"")</f>
        <v>#N/A</v>
      </c>
      <c r="L25" s="497"/>
      <c r="M25" s="487" t="e">
        <f ca="1">1/2*Rho_moyen*1*V_ouv_sat^2*S_satellite</f>
        <v>#N/A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18.7</v>
      </c>
      <c r="D26" s="469">
        <v>3.5</v>
      </c>
      <c r="F26" s="611" t="s">
        <v>15</v>
      </c>
      <c r="G26" s="612"/>
      <c r="H26" s="153">
        <f ca="1">INDEX(t,MATCH("Apogée",Event,0))</f>
        <v>19.59999999999998</v>
      </c>
      <c r="I26" s="157">
        <f ca="1">INDEX(pos_z,MATCH("Apogée",Event,0))</f>
        <v>1860.1319566312261</v>
      </c>
      <c r="J26" s="155">
        <f ca="1">INDEX(pos_x,MATCH("Apogée",Event,0))</f>
        <v>389.49704343111966</v>
      </c>
      <c r="K26" s="160">
        <f ca="1">INDEX(vit_xz,MATCH("Apogée",Event,0))</f>
        <v>18.885987952144752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0.24</v>
      </c>
      <c r="D27" s="17">
        <f>IF(RIGHT(Type_fusee,1)=".",0.1,0.02)</f>
        <v>0.02</v>
      </c>
      <c r="F27" s="609" t="str">
        <f>IF(Lang="Français","Ouverture parachute fusée",IF(Lang="English","Rocket parachute opening",""))</f>
        <v>Ouverture parachute fusée</v>
      </c>
      <c r="G27" s="610"/>
      <c r="H27" s="152">
        <f>T_para</f>
        <v>18.7</v>
      </c>
      <c r="I27" s="156">
        <f ca="1">INDEX(pos_z,MATCH("Para",Event_para,0))</f>
        <v>1856.0996538431443</v>
      </c>
      <c r="J27" s="488">
        <f ca="1">INDEX(pos_x,MATCH("Para",Event_para,0))</f>
        <v>372.44575883924836</v>
      </c>
      <c r="K27" s="159">
        <f ca="1">INDEX(vit_xz,MATCH("Para",Event_para,0))</f>
        <v>20.995643388557749</v>
      </c>
      <c r="L27" s="497"/>
      <c r="M27" s="487">
        <f ca="1">1/2*Rho_moyen*1*V_ouverture^2*S_para</f>
        <v>64.800105071024845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>Parachute fusée trop petit !</v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598" t="str">
        <f>IF(Lang="Français","Impact balistique",IF(Lang="English","Balistic Impact",""))</f>
        <v>Impact balistique</v>
      </c>
      <c r="G28" s="599"/>
      <c r="H28" s="499">
        <f ca="1">INDEX(t,MATCH("Impact balistique",Event,0))</f>
        <v>41.600000000000293</v>
      </c>
      <c r="I28" s="519" t="s">
        <v>428</v>
      </c>
      <c r="J28" s="489">
        <f ca="1">INDEX(pos_x,MATCH("Impact balistique",Event,0))</f>
        <v>712.18513894933824</v>
      </c>
      <c r="K28" s="503">
        <f ca="1">K45</f>
        <v>136.59599525563223</v>
      </c>
      <c r="L28" s="500"/>
      <c r="M28" s="504">
        <f ca="1">0.5*m_vide*K28^2</f>
        <v>38103.386178276211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>La Vitesse de descente sous parachute doit être comprise entre 5 &amp; 15 m/s.</v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IF(AND(Portee_balistique&gt;200,LEFT(Type_propu,4)="Mini"),IF(Lang="Français","Fusée trop lègère !","Rocket too light"),"")</f>
        <v>Fusée trop lègère !</v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16.509527861331517</v>
      </c>
      <c r="D30" s="424">
        <f>SQRT(2*m_satellite*g/Rho_moyen/S_satellite/Cx_satellite)</f>
        <v>10.960038730752361</v>
      </c>
      <c r="F30" s="384"/>
      <c r="K30" s="388"/>
      <c r="N30" s="58"/>
      <c r="P30" s="384" t="e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>#N/A</v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112.42596817020346</v>
      </c>
      <c r="D31" s="132" t="e">
        <f ca="1">IF(V_satellite&lt;&gt;0,Alt_sat/V_satellite,0)</f>
        <v>#N/A</v>
      </c>
      <c r="H31" s="600" t="str">
        <f>IF(Lang="Français","Pour localiser la fusée","To locate the rocket")</f>
        <v>Pour localiser la fusée</v>
      </c>
      <c r="I31" s="60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131.12596817020346</v>
      </c>
      <c r="D32" s="132" t="e">
        <f ca="1">T_satellite+Dt_satellite</f>
        <v>#N/A</v>
      </c>
      <c r="F32" s="600" t="str">
        <f>IF(Lang="Français","Couleur fuselage/coiffe","Body/Nose color")</f>
        <v>Couleur fuselage/coiffe</v>
      </c>
      <c r="G32" s="600"/>
      <c r="H32" s="596" t="s">
        <v>555</v>
      </c>
      <c r="I32" s="59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562.12984085101732</v>
      </c>
      <c r="D33" s="151" t="e">
        <f ca="1">IF(V_satellite&lt;&gt;0,Alt_sat*V_vent_sat/V_satellite,0)</f>
        <v>#N/A</v>
      </c>
      <c r="F33" s="600" t="str">
        <f>IF(Lang="Français","Couleur parachute fusée","Rocket parachute color")</f>
        <v>Couleur parachute fusée</v>
      </c>
      <c r="G33" s="600"/>
      <c r="H33" s="596" t="s">
        <v>554</v>
      </c>
      <c r="I33" s="597"/>
      <c r="N33" s="394" t="str">
        <f>IF(Lang="Français","fichier initial","Initial file")</f>
        <v>fichier initial</v>
      </c>
    </row>
    <row r="34" spans="1:16" x14ac:dyDescent="0.2">
      <c r="A34" s="59"/>
      <c r="F34" s="600" t="str">
        <f>IF(Lang="Français","Couleur parachute satellite","Satellite parachute color")</f>
        <v>Couleur parachute satellite</v>
      </c>
      <c r="G34" s="600"/>
      <c r="H34" s="604" t="s">
        <v>159</v>
      </c>
      <c r="I34" s="604"/>
      <c r="N34" s="393" t="str">
        <f>IF(ROUND(SUM(Propu!5:1228),0)=395253,"propu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544</v>
      </c>
      <c r="P35"/>
    </row>
    <row r="38" spans="1:16" x14ac:dyDescent="0.2">
      <c r="A38" s="601" t="str">
        <f>IF(Lang="Français","Calcul de la surface d'un parachute","Parachute surface calculation")</f>
        <v>Calcul de la surface d'un parachute</v>
      </c>
      <c r="B38" s="602"/>
      <c r="C38" s="602"/>
      <c r="D38" s="603"/>
      <c r="F38" s="601" t="str">
        <f>IF(Lang="Français","Résultats détaillés","Detailled results")</f>
        <v>Résultats détaillés</v>
      </c>
      <c r="G38" s="60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154</v>
      </c>
      <c r="I39" s="136" t="s">
        <v>39</v>
      </c>
      <c r="J39" s="136" t="s">
        <v>39</v>
      </c>
      <c r="K39" s="136" t="s">
        <v>155</v>
      </c>
      <c r="L39" s="136" t="s">
        <v>7</v>
      </c>
      <c r="M39" s="136" t="s">
        <v>156</v>
      </c>
    </row>
    <row r="40" spans="1:16" x14ac:dyDescent="0.2">
      <c r="A40" s="161"/>
      <c r="D40" s="162"/>
      <c r="F40" s="625" t="str">
        <f>IF(Lang="Français","Décollage",IF(Lang="English","Lift-Off",""))</f>
        <v>Décollage</v>
      </c>
      <c r="G40" s="625"/>
      <c r="H40" s="150">
        <v>6.6</v>
      </c>
      <c r="I40" s="150">
        <v>930.5</v>
      </c>
      <c r="J40" s="150">
        <v>111.04</v>
      </c>
      <c r="K40" s="150">
        <v>132.15</v>
      </c>
      <c r="L40" s="148" t="s">
        <v>14</v>
      </c>
      <c r="M40" s="149">
        <f>Beta_rampe</f>
        <v>80.569999999999993</v>
      </c>
    </row>
    <row r="41" spans="1:16" x14ac:dyDescent="0.2">
      <c r="A41" s="161"/>
      <c r="D41" s="162"/>
      <c r="F41" s="612" t="str">
        <f>IF(Lang="Français","Sortie de Rampe",IF(Lang="English","Launch-Pad Exit",""))</f>
        <v>Sortie de Rampe</v>
      </c>
      <c r="G41" s="612"/>
      <c r="H41" s="115" t="e">
        <f ca="1">INDEX(t,MATCH("Sortie de rampe",Event,0))</f>
        <v>#N/A</v>
      </c>
      <c r="I41" s="115" t="e">
        <f ca="1">INDEX(pos_z,MATCH("Sortie de rampe",Event,0))</f>
        <v>#N/A</v>
      </c>
      <c r="J41" s="115" t="e">
        <f ca="1">INDEX(pos_x,MATCH("Sortie de rampe",Event,0))</f>
        <v>#N/A</v>
      </c>
      <c r="K41" s="116" t="e">
        <f ca="1">INDEX(vit_xz,MATCH("Sortie de rampe",Event,0))</f>
        <v>#N/A</v>
      </c>
      <c r="L41" s="116" t="e">
        <f ca="1">INDEX(acc_xz,MATCH("Sortie de rampe",Event,0))</f>
        <v>#N/A</v>
      </c>
      <c r="M41" s="116" t="e">
        <f ca="1">INDEX(BetaD,MATCH("Sortie de rampe",Event,0))</f>
        <v>#N/A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612" t="str">
        <f>IF(Lang="Français","Vit max &amp; Acc max",IF(Lang="English","Max Velocity &amp; Acc",""))</f>
        <v>Vit max &amp; Acc max</v>
      </c>
      <c r="G42" s="612"/>
      <c r="H42" s="115" t="s">
        <v>14</v>
      </c>
      <c r="I42" s="115" t="s">
        <v>14</v>
      </c>
      <c r="J42" s="115" t="s">
        <v>14</v>
      </c>
      <c r="K42" s="117">
        <f ca="1">MAX(vit_xz)</f>
        <v>150.91901372530018</v>
      </c>
      <c r="L42" s="118">
        <f ca="1">MAX(acc_xz)</f>
        <v>41.211274701340855</v>
      </c>
      <c r="M42" s="116" t="s">
        <v>14</v>
      </c>
    </row>
    <row r="43" spans="1:16" x14ac:dyDescent="0.2">
      <c r="A43" s="161"/>
      <c r="B43" s="167">
        <v>200</v>
      </c>
      <c r="D43" s="162"/>
      <c r="F43" s="612" t="str">
        <f>IF(Lang="Français","Fin de Propulsion",IF(Lang="English","Motor Burn-Out",""))</f>
        <v>Fin de Propulsion</v>
      </c>
      <c r="G43" s="612"/>
      <c r="H43" s="116">
        <f ca="1">INDEX(t,MATCH("Fin de propulsion",Event,0))</f>
        <v>7.6899999999999764</v>
      </c>
      <c r="I43" s="119">
        <f ca="1">INDEX(pos_z,MATCH("Fin de propulsion",Event,0))</f>
        <v>1086.0839409956841</v>
      </c>
      <c r="J43" s="119">
        <f ca="1">INDEX(pos_x,MATCH("Fin de propulsion",Event,0))</f>
        <v>137.91406213391431</v>
      </c>
      <c r="K43" s="119">
        <f ca="1">INDEX(vit_xz,MATCH("Fin de propulsion",Event,0))</f>
        <v>147.16620392750568</v>
      </c>
      <c r="L43" s="116">
        <f ca="1">INDEX(acc_xz,MATCH("Fin de propulsion",Event,0))</f>
        <v>18.269831601124917</v>
      </c>
      <c r="M43" s="116">
        <f ca="1">INDEX(BetaD,MATCH("Fin de propulsion",Event,0))</f>
        <v>79.850617997816499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612" t="s">
        <v>15</v>
      </c>
      <c r="G44" s="612"/>
      <c r="H44" s="118">
        <f ca="1">INDEX(t,MATCH("Apogée",Event,0))</f>
        <v>19.59999999999998</v>
      </c>
      <c r="I44" s="117">
        <f ca="1">INDEX(pos_z,MATCH("Apogée",Event,0))</f>
        <v>1860.1319566312261</v>
      </c>
      <c r="J44" s="120">
        <f ca="1">INDEX(pos_x,MATCH("Apogée",Event,0))</f>
        <v>389.49704343111966</v>
      </c>
      <c r="K44" s="120">
        <f ca="1">INDEX(vit_xz,MATCH("Apogée",Event,0))</f>
        <v>18.885987952144752</v>
      </c>
      <c r="L44" s="116">
        <f ca="1">INDEX(acc_xz,MATCH("Apogée",Event,0))</f>
        <v>9.8179897092320036</v>
      </c>
      <c r="M44" s="121">
        <f ca="1">INDEX(BetaD,MATCH("Apogée",Event,0))</f>
        <v>0.16549169570048661</v>
      </c>
    </row>
    <row r="45" spans="1:16" x14ac:dyDescent="0.2">
      <c r="A45" s="161"/>
      <c r="B45" s="168">
        <v>250</v>
      </c>
      <c r="D45" s="162"/>
      <c r="F45" s="627" t="str">
        <f>IF(Lang="Français","Impact balistique",IF(Lang="English","Balistic Impact",""))</f>
        <v>Impact balistique</v>
      </c>
      <c r="G45" s="627"/>
      <c r="H45" s="116">
        <f ca="1">INDEX(t,MATCH("Impact balistique",Event,0))</f>
        <v>41.600000000000293</v>
      </c>
      <c r="I45" s="148" t="s">
        <v>16</v>
      </c>
      <c r="J45" s="117">
        <f ca="1">INDEX(pos_x,MATCH("Impact balistique",Event,0))</f>
        <v>712.18513894933824</v>
      </c>
      <c r="K45" s="119">
        <f ca="1">INDEX(vit_xz,MATCH("Impact balistique",Event,0))</f>
        <v>136.59599525563223</v>
      </c>
      <c r="L45" s="116">
        <f ca="1">INDEX(acc_xz,MATCH("Impact balistique",Event,0))</f>
        <v>1.7606548784486387</v>
      </c>
      <c r="M45" s="116">
        <f ca="1">INDEX(BetaD,MATCH("Impact balistique",Event,0))</f>
        <v>-86.317139291606594</v>
      </c>
    </row>
    <row r="46" spans="1:16" x14ac:dyDescent="0.2">
      <c r="A46" s="161"/>
      <c r="B46" s="169" t="s">
        <v>9</v>
      </c>
      <c r="D46" s="162"/>
      <c r="F46" s="610" t="str">
        <f>IF(Lang="Français","Ouverture parachute fusée",IF(Lang="English","Rocket parachute opening",""))</f>
        <v>Ouverture parachute fusée</v>
      </c>
      <c r="G46" s="610"/>
      <c r="H46" s="122">
        <f>T_para</f>
        <v>18.7</v>
      </c>
      <c r="I46" s="123">
        <f ca="1">INDEX(pos_z,MATCH("Para",Event_para,0))</f>
        <v>1856.0996538431443</v>
      </c>
      <c r="J46" s="123">
        <f ca="1">INDEX(pos_x,MATCH("Para",Event_para,0))</f>
        <v>372.44575883924836</v>
      </c>
      <c r="K46" s="123">
        <f ca="1">INDEX(vit_xz,MATCH("Para",Event_para,0))</f>
        <v>20.995643388557749</v>
      </c>
      <c r="L46" s="122">
        <f ca="1">INDEX(acc_xz,MATCH("Para",Event_para,0))</f>
        <v>9.8883638880734441</v>
      </c>
      <c r="M46" s="124">
        <f ca="1">INDEX(BetaD,MATCH("Para",Event_para,0))</f>
        <v>25.129825164498161</v>
      </c>
    </row>
    <row r="47" spans="1:16" x14ac:dyDescent="0.2">
      <c r="A47" s="161"/>
      <c r="B47" s="174">
        <f>(4*B43*B45+B43^2)/10^6</f>
        <v>0.24</v>
      </c>
      <c r="D47" s="162"/>
      <c r="F47" s="628" t="str">
        <f>IF(Lang="Français","Impact fusée sous para.",IF(Lang="English","Impact of rocket with para. ",""))</f>
        <v>Impact fusée sous para.</v>
      </c>
      <c r="G47" s="628"/>
      <c r="H47" s="125">
        <f ca="1">T_para+Dt_para</f>
        <v>131.12596817020346</v>
      </c>
      <c r="I47" s="127" t="s">
        <v>16</v>
      </c>
      <c r="J47" s="126" t="str">
        <f ca="1">CONCATENATE(TEXT(X_para-Dx_para,"0")," | ",TEXT(X_para+Dx_para,"0"))</f>
        <v>-190 | 935</v>
      </c>
      <c r="K47" s="126">
        <f ca="1">V_para</f>
        <v>16.509527861331517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626" t="str">
        <f>IF(Lang="Français","Largage du satellite",IF(Lang="English","Satellite separation",""))</f>
        <v>Largage du satellite</v>
      </c>
      <c r="G48" s="614"/>
      <c r="H48" s="122">
        <f>IF(T_satellite&lt;&gt;0,T_satellite,"")</f>
        <v>3.5</v>
      </c>
      <c r="I48" s="123" t="e">
        <f ca="1">IF(T_satellite&lt;&gt;0,INDEX(pos_z,MATCH("Satellite",Event_sat,0)),"")</f>
        <v>#N/A</v>
      </c>
      <c r="J48" s="129" t="e">
        <f ca="1">IF(T_satellite&lt;&gt;0,INDEX(pos_x,MATCH("Satellite",Event_sat,0)),"")</f>
        <v>#N/A</v>
      </c>
      <c r="K48" s="123" t="e">
        <f ca="1">IF(T_satellite&lt;&gt;0,INDEX(vit_xz,MATCH("Satellite",Event_sat,0)),"")</f>
        <v>#N/A</v>
      </c>
      <c r="L48" s="122" t="e">
        <f ca="1">IF(T_satellite&lt;&gt;0,INDEX(acc_xz,MATCH("Satellite",Event_sat,0)),"")</f>
        <v>#N/A</v>
      </c>
      <c r="M48" s="124" t="e">
        <f ca="1">IF(T_satellite&lt;&gt;0,INDEX(BetaD,MATCH("Satellite",Event_sat,0)),"")</f>
        <v>#N/A</v>
      </c>
    </row>
    <row r="49" spans="1:13" x14ac:dyDescent="0.2">
      <c r="A49" s="161"/>
      <c r="D49" s="162"/>
      <c r="F49" s="623" t="str">
        <f>IF(Lang="Français","Impact du satellite",IF(Lang="English","Satellite impact",""))</f>
        <v>Impact du satellite</v>
      </c>
      <c r="G49" s="624"/>
      <c r="H49" s="125" t="e">
        <f ca="1">IF(T_satellite&lt;&gt;0,T_satellite+Dt_satellite,"")</f>
        <v>#N/A</v>
      </c>
      <c r="I49" s="130" t="str">
        <f>IF(T_satellite&lt;&gt;0,"~0","")</f>
        <v>~0</v>
      </c>
      <c r="J49" s="130" t="e">
        <f ca="1">IF(T_satellite&lt;&gt;0,CONCATENATE(TEXT(X_satellite-Dx_sat,"0")," | ",TEXT(X_satellite+Dx_sat,"0")),"")</f>
        <v>#N/A</v>
      </c>
      <c r="K49" s="130">
        <f>IF(T_satellite&lt;&gt;0,V_satellite,"")</f>
        <v>10.960038730752361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499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0.77961763291484298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407</v>
      </c>
      <c r="G102" s="1" t="s">
        <v>414</v>
      </c>
    </row>
    <row r="103" spans="2:7" x14ac:dyDescent="0.2">
      <c r="F103" s="478">
        <f ca="1">Combustion+Depotage-9</f>
        <v>-8.0299999999999994</v>
      </c>
      <c r="G103" s="479" t="s">
        <v>409</v>
      </c>
    </row>
    <row r="104" spans="2:7" x14ac:dyDescent="0.2">
      <c r="B104" s="1" t="s">
        <v>121</v>
      </c>
      <c r="F104" s="478">
        <f ca="1">Combustion+Depotage-7</f>
        <v>-6.03</v>
      </c>
      <c r="G104" s="479" t="s">
        <v>410</v>
      </c>
    </row>
    <row r="105" spans="2:7" x14ac:dyDescent="0.2">
      <c r="B105" s="1" t="s">
        <v>122</v>
      </c>
      <c r="F105" s="478">
        <f ca="1">Combustion+Depotage-5</f>
        <v>-4.03</v>
      </c>
      <c r="G105" s="479" t="s">
        <v>411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-2.0300000000000002</v>
      </c>
      <c r="G106" s="479" t="s">
        <v>412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0.97</v>
      </c>
      <c r="G107" s="479" t="s">
        <v>413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18.7</v>
      </c>
    </row>
    <row r="115" spans="2:3" x14ac:dyDescent="0.2">
      <c r="B115" s="1" t="s">
        <v>408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48</v>
      </c>
    </row>
    <row r="118" spans="2:3" x14ac:dyDescent="0.2">
      <c r="C118" s="216">
        <f ca="1">MAX(Altitude_culmi,Portee_balistique)</f>
        <v>1860.1319566312261</v>
      </c>
    </row>
    <row r="119" spans="2:3" x14ac:dyDescent="0.2">
      <c r="B119" s="210" t="s">
        <v>48</v>
      </c>
    </row>
    <row r="120" spans="2:3" x14ac:dyDescent="0.2">
      <c r="B120" s="218">
        <f ca="1">MAX(Altitude_culmi,Portee_balistique)</f>
        <v>1860.1319566312261</v>
      </c>
      <c r="C120" s="211" t="s">
        <v>46</v>
      </c>
    </row>
    <row r="121" spans="2:3" x14ac:dyDescent="0.2">
      <c r="C121" s="214">
        <f ca="1">Alt_para</f>
        <v>1856.0996538431443</v>
      </c>
    </row>
    <row r="122" spans="2:3" x14ac:dyDescent="0.2">
      <c r="B122" s="210" t="s">
        <v>50</v>
      </c>
      <c r="C122" s="214">
        <f ca="1">Alt_para/2</f>
        <v>928.04982692157216</v>
      </c>
    </row>
    <row r="123" spans="2:3" x14ac:dyDescent="0.2">
      <c r="B123" s="217">
        <f ca="1">X_para</f>
        <v>372.44575883924836</v>
      </c>
      <c r="C123" s="214">
        <v>0</v>
      </c>
    </row>
    <row r="124" spans="2:3" x14ac:dyDescent="0.2">
      <c r="B124" s="217">
        <f ca="1">X_para</f>
        <v>372.44575883924836</v>
      </c>
      <c r="C124" s="214">
        <f ca="1">Alt_para/20</f>
        <v>92.804982692157211</v>
      </c>
    </row>
    <row r="125" spans="2:3" x14ac:dyDescent="0.2">
      <c r="B125" s="217">
        <f ca="1">X_para</f>
        <v>372.44575883924836</v>
      </c>
      <c r="C125" s="214">
        <v>0</v>
      </c>
    </row>
    <row r="126" spans="2:3" x14ac:dyDescent="0.2">
      <c r="B126" s="217">
        <f ca="1">X_para+Alt_para/40</f>
        <v>418.84825018532695</v>
      </c>
      <c r="C126" s="214">
        <f ca="1">Alt_para/20</f>
        <v>92.804982692157211</v>
      </c>
    </row>
    <row r="127" spans="2:3" x14ac:dyDescent="0.2">
      <c r="B127" s="217">
        <f ca="1">X_para</f>
        <v>372.44575883924836</v>
      </c>
      <c r="C127" s="219">
        <v>0</v>
      </c>
    </row>
    <row r="128" spans="2:3" x14ac:dyDescent="0.2">
      <c r="B128" s="217">
        <f ca="1">X_para-Alt_para/40</f>
        <v>326.04326749316976</v>
      </c>
      <c r="C128" s="211" t="s">
        <v>46</v>
      </c>
    </row>
    <row r="129" spans="2:6" x14ac:dyDescent="0.2">
      <c r="B129" s="218">
        <f ca="1">X_para</f>
        <v>372.44575883924836</v>
      </c>
      <c r="C129" s="214">
        <f ca="1">Alt_para</f>
        <v>1856.0996538431443</v>
      </c>
      <c r="E129" s="232">
        <v>1</v>
      </c>
      <c r="F129" s="233" t="s">
        <v>176</v>
      </c>
    </row>
    <row r="130" spans="2:6" x14ac:dyDescent="0.2">
      <c r="B130" s="210" t="s">
        <v>49</v>
      </c>
      <c r="C130" s="214">
        <f ca="1">(C129+C131)/2</f>
        <v>928.04982692157216</v>
      </c>
      <c r="E130" s="161">
        <v>1</v>
      </c>
      <c r="F130" s="234" t="s">
        <v>177</v>
      </c>
    </row>
    <row r="131" spans="2:6" x14ac:dyDescent="0.2">
      <c r="B131" s="213">
        <f>T_para</f>
        <v>18.7</v>
      </c>
      <c r="C131" s="214">
        <f>0</f>
        <v>0</v>
      </c>
      <c r="E131" s="161"/>
      <c r="F131" s="241" t="s">
        <v>178</v>
      </c>
    </row>
    <row r="132" spans="2:6" x14ac:dyDescent="0.2">
      <c r="B132" s="213">
        <f ca="1">(B131+B133)/2</f>
        <v>74.912984085101726</v>
      </c>
      <c r="C132" s="214">
        <f ca="1">Alt_para-V_para*(H47-T_para)+E129*sS*Altitude_culmi/H47*zZ_fus+E130*sS/2*Altitude_culmi/H47*tT_fus</f>
        <v>84.311682461944301</v>
      </c>
      <c r="E132" s="235" t="s">
        <v>173</v>
      </c>
      <c r="F132" s="236">
        <f ca="1">T_balistique/10</f>
        <v>4.1600000000000295</v>
      </c>
    </row>
    <row r="133" spans="2:6" x14ac:dyDescent="0.2">
      <c r="B133" s="213">
        <f ca="1">H47</f>
        <v>131.12596817020346</v>
      </c>
      <c r="C133" s="214">
        <f ca="1">Alt_para-V_para*(H47-T_para)</f>
        <v>0</v>
      </c>
      <c r="E133" s="235" t="s">
        <v>174</v>
      </c>
      <c r="F133" s="236">
        <f ca="1">(H47-T_para)/H47</f>
        <v>0.85738904153807949</v>
      </c>
    </row>
    <row r="134" spans="2:6" x14ac:dyDescent="0.2">
      <c r="B134" s="213">
        <f ca="1">H47+E129*sS/2*zZ_fus-E130*sS*tT_fus</f>
        <v>129.63922975740505</v>
      </c>
      <c r="C134" s="214">
        <f ca="1">Alt_para-V_para*(H47-T_para)+E129*sS*Altitude_culmi/H47*zZ_fus-E130*sS/2*Altitude_culmi/H47*tT_fus</f>
        <v>33.714503312969825</v>
      </c>
      <c r="E134" s="237" t="s">
        <v>175</v>
      </c>
      <c r="F134" s="238">
        <f ca="1">V_para*(H47-T_para)/Alt_para</f>
        <v>1</v>
      </c>
    </row>
    <row r="135" spans="2:6" x14ac:dyDescent="0.2">
      <c r="B135" s="213">
        <f ca="1">H47</f>
        <v>131.12596817020346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125.47922975740502</v>
      </c>
    </row>
    <row r="137" spans="2:6" x14ac:dyDescent="0.2">
      <c r="B137" s="215">
        <f ca="1">H47</f>
        <v>131.12596817020346</v>
      </c>
      <c r="C137" s="211" t="s">
        <v>47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52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47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51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174</v>
      </c>
      <c r="F150" s="240">
        <f ca="1">(T_balistique-T_satellite)/T_balistique</f>
        <v>0.91586538461538525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175</v>
      </c>
      <c r="F151" s="238" t="e">
        <f ca="1">V_satellite*(T_balistique-T_satellite)/Alt_sat</f>
        <v>#N/A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>
        <f ca="1">Alt_para/2</f>
        <v>928.04982692157216</v>
      </c>
      <c r="D155" s="214">
        <f ca="1">X_para/4</f>
        <v>93.111439709812089</v>
      </c>
    </row>
    <row r="156" spans="2:6" x14ac:dyDescent="0.2">
      <c r="B156" s="210" t="s">
        <v>2</v>
      </c>
      <c r="C156" s="230">
        <f ca="1">Altitude_culmi/2</f>
        <v>930.06597831561305</v>
      </c>
      <c r="D156" s="216">
        <f ca="1">X_culmi+(Portee_balistique-X_culmi)*2/3</f>
        <v>604.62244044326542</v>
      </c>
    </row>
    <row r="157" spans="2:6" x14ac:dyDescent="0.2">
      <c r="B157" s="231">
        <f>T_para/4</f>
        <v>4.6749999999999998</v>
      </c>
    </row>
    <row r="158" spans="2:6" x14ac:dyDescent="0.2">
      <c r="B158" s="229">
        <f ca="1">Temps_culmi + (T_balistique-Temps_culmi)/2</f>
        <v>30.600000000000136</v>
      </c>
      <c r="C158" s="228" t="s">
        <v>302</v>
      </c>
      <c r="D158" s="422" t="s">
        <v>304</v>
      </c>
      <c r="E158" s="422"/>
      <c r="F158" s="423" t="s">
        <v>304</v>
      </c>
    </row>
    <row r="159" spans="2:6" x14ac:dyDescent="0.2">
      <c r="C159" s="5">
        <v>0</v>
      </c>
      <c r="D159" s="82">
        <f t="shared" ref="D159:D174" ca="1" si="0">X_culmi+C159</f>
        <v>389.49704343111966</v>
      </c>
      <c r="E159" s="82"/>
      <c r="F159" s="214">
        <f t="shared" ref="F159:F174" ca="1" si="1">X_culmi-C159</f>
        <v>389.49704343111966</v>
      </c>
    </row>
    <row r="160" spans="2:6" x14ac:dyDescent="0.2">
      <c r="B160" s="210" t="s">
        <v>303</v>
      </c>
      <c r="C160" s="5">
        <v>23</v>
      </c>
      <c r="D160" s="82">
        <f t="shared" ca="1" si="0"/>
        <v>412.49704343111966</v>
      </c>
      <c r="E160" s="82"/>
      <c r="F160" s="214">
        <f t="shared" ca="1" si="1"/>
        <v>366.49704343111966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412.49704343111966</v>
      </c>
      <c r="E161" s="82"/>
      <c r="F161" s="214">
        <f t="shared" ca="1" si="1"/>
        <v>366.49704343111966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389.49704343111966</v>
      </c>
      <c r="E162" s="82"/>
      <c r="F162" s="214">
        <f t="shared" ca="1" si="1"/>
        <v>389.49704343111966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412.49704343111966</v>
      </c>
      <c r="E163" s="82"/>
      <c r="F163" s="214">
        <f t="shared" ca="1" si="1"/>
        <v>366.49704343111966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412.49704343111966</v>
      </c>
      <c r="E164" s="82"/>
      <c r="F164" s="214">
        <f t="shared" ca="1" si="1"/>
        <v>366.49704343111966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397.49704343111966</v>
      </c>
      <c r="E165" s="82"/>
      <c r="F165" s="214">
        <f t="shared" ca="1" si="1"/>
        <v>381.49704343111966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397.49704343111966</v>
      </c>
      <c r="E166" s="82"/>
      <c r="F166" s="214">
        <f t="shared" ca="1" si="1"/>
        <v>381.49704343111966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412.49704343111966</v>
      </c>
      <c r="E167" s="82"/>
      <c r="F167" s="214">
        <f t="shared" ca="1" si="1"/>
        <v>366.49704343111966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397.49704343111966</v>
      </c>
      <c r="E168" s="82"/>
      <c r="F168" s="214">
        <f t="shared" ca="1" si="1"/>
        <v>381.49704343111966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397.09704343111969</v>
      </c>
      <c r="E169" s="82"/>
      <c r="F169" s="214">
        <f t="shared" ca="1" si="1"/>
        <v>381.89704343111964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396.29704343111968</v>
      </c>
      <c r="E170" s="82"/>
      <c r="F170" s="214">
        <f t="shared" ca="1" si="1"/>
        <v>382.69704343111965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395.49704343111966</v>
      </c>
      <c r="E171" s="82"/>
      <c r="F171" s="214">
        <f t="shared" ca="1" si="1"/>
        <v>383.49704343111966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394.49704343111966</v>
      </c>
      <c r="E172" s="82"/>
      <c r="F172" s="214">
        <f t="shared" ca="1" si="1"/>
        <v>384.49704343111966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393.29704343111968</v>
      </c>
      <c r="E173" s="82"/>
      <c r="F173" s="214">
        <f t="shared" ca="1" si="1"/>
        <v>385.69704343111965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389.49704343111966</v>
      </c>
      <c r="E174" s="230"/>
      <c r="F174" s="216">
        <f t="shared" ca="1" si="1"/>
        <v>389.49704343111966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306</v>
      </c>
      <c r="D176" s="228" t="s">
        <v>307</v>
      </c>
      <c r="E176" s="228"/>
      <c r="F176" s="211" t="s">
        <v>307</v>
      </c>
    </row>
    <row r="177" spans="2:6" x14ac:dyDescent="0.2">
      <c r="C177" s="5">
        <v>0</v>
      </c>
      <c r="D177" s="82">
        <f t="shared" ref="D177:D197" ca="1" si="2">X_culmi+C177</f>
        <v>389.49704343111966</v>
      </c>
      <c r="E177" s="82"/>
      <c r="F177" s="214">
        <f t="shared" ref="F177:F197" ca="1" si="3">X_culmi-C177</f>
        <v>389.49704343111966</v>
      </c>
    </row>
    <row r="178" spans="2:6" x14ac:dyDescent="0.2">
      <c r="B178" s="210" t="s">
        <v>305</v>
      </c>
      <c r="C178" s="5">
        <v>0</v>
      </c>
      <c r="D178" s="82">
        <f t="shared" ca="1" si="2"/>
        <v>389.49704343111966</v>
      </c>
      <c r="E178" s="82"/>
      <c r="F178" s="214">
        <f t="shared" ca="1" si="3"/>
        <v>389.49704343111966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399.49704343111966</v>
      </c>
      <c r="E179" s="82"/>
      <c r="F179" s="214">
        <f t="shared" ca="1" si="3"/>
        <v>379.49704343111966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389.49704343111966</v>
      </c>
      <c r="E180" s="82"/>
      <c r="F180" s="214">
        <f t="shared" ca="1" si="3"/>
        <v>389.49704343111966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399.49704343111966</v>
      </c>
      <c r="E181" s="82"/>
      <c r="F181" s="214">
        <f t="shared" ca="1" si="3"/>
        <v>379.49704343111966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402.49704343111966</v>
      </c>
      <c r="E182" s="82"/>
      <c r="F182" s="214">
        <f t="shared" ca="1" si="3"/>
        <v>376.49704343111966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406.49704343111966</v>
      </c>
      <c r="E183" s="82"/>
      <c r="F183" s="214">
        <f t="shared" ca="1" si="3"/>
        <v>372.49704343111966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409.49704343111966</v>
      </c>
      <c r="E184" s="82"/>
      <c r="F184" s="214">
        <f t="shared" ca="1" si="3"/>
        <v>369.49704343111966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414.49704343111966</v>
      </c>
      <c r="E185" s="82"/>
      <c r="F185" s="214">
        <f t="shared" ca="1" si="3"/>
        <v>364.49704343111966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419.49704343111966</v>
      </c>
      <c r="E186" s="82"/>
      <c r="F186" s="214">
        <f t="shared" ca="1" si="3"/>
        <v>359.49704343111966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425.49704343111966</v>
      </c>
      <c r="E187" s="82"/>
      <c r="F187" s="214">
        <f t="shared" ca="1" si="3"/>
        <v>353.49704343111966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437.49704343111966</v>
      </c>
      <c r="E188" s="82"/>
      <c r="F188" s="214">
        <f t="shared" ca="1" si="3"/>
        <v>341.49704343111966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451.49704343111966</v>
      </c>
      <c r="E189" s="82"/>
      <c r="F189" s="214">
        <f t="shared" ca="1" si="3"/>
        <v>327.49704343111966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426.49704343111966</v>
      </c>
      <c r="E190" s="82"/>
      <c r="F190" s="214">
        <f t="shared" ca="1" si="3"/>
        <v>352.49704343111966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419.49704343111966</v>
      </c>
      <c r="E191" s="82"/>
      <c r="F191" s="214">
        <f t="shared" ca="1" si="3"/>
        <v>359.49704343111966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404.49704343111966</v>
      </c>
      <c r="E192" s="82"/>
      <c r="F192" s="214">
        <f t="shared" ca="1" si="3"/>
        <v>374.49704343111966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389.49704343111966</v>
      </c>
      <c r="E193" s="82"/>
      <c r="F193" s="214">
        <f t="shared" ca="1" si="3"/>
        <v>389.49704343111966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389.49704343111966</v>
      </c>
      <c r="E194" s="82"/>
      <c r="F194" s="214">
        <f t="shared" ca="1" si="3"/>
        <v>389.49704343111966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406.49704343111966</v>
      </c>
      <c r="E195" s="82"/>
      <c r="F195" s="214">
        <f t="shared" ca="1" si="3"/>
        <v>372.49704343111966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400.49704343111966</v>
      </c>
      <c r="E196" s="82"/>
      <c r="F196" s="214">
        <f t="shared" ca="1" si="3"/>
        <v>378.49704343111966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389.49704343111966</v>
      </c>
      <c r="E197" s="230"/>
      <c r="F197" s="216">
        <f t="shared" ca="1" si="3"/>
        <v>389.49704343111966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  <mergeCell ref="C15:D15"/>
    <mergeCell ref="C10:D10"/>
    <mergeCell ref="C19:D19"/>
    <mergeCell ref="C20:D20"/>
    <mergeCell ref="C11:D11"/>
    <mergeCell ref="C13:D13"/>
    <mergeCell ref="C14:D14"/>
    <mergeCell ref="C18:D18"/>
    <mergeCell ref="C22:D22"/>
    <mergeCell ref="C17:D17"/>
    <mergeCell ref="F23:G23"/>
    <mergeCell ref="F27:G27"/>
    <mergeCell ref="F26:G26"/>
    <mergeCell ref="F24:G24"/>
    <mergeCell ref="F25:G25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:D3"/>
    <mergeCell ref="C7:D7"/>
    <mergeCell ref="C8:D8"/>
    <mergeCell ref="C9:D9"/>
    <mergeCell ref="C6:D6"/>
    <mergeCell ref="C4:D4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AND(Portee_balistique&gt;200,LEFT(Type_propu,4)="Mini")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00000000-0002-0000-0100-000000000000}">
      <formula1>0</formula1>
    </dataValidation>
    <dataValidation type="list" allowBlank="1" showInputMessage="1" showErrorMessage="1" sqref="H50" xr:uid="{00000000-0002-0000-0100-000001000000}">
      <formula1>gao</formula1>
    </dataValidation>
    <dataValidation operator="greaterThanOrEqual" showErrorMessage="1" sqref="D29 C27" xr:uid="{00000000-0002-0000-0100-000002000000}"/>
    <dataValidation type="decimal" errorStyle="warning" allowBlank="1" showErrorMessage="1" errorTitle="Cx para" error="Le Cx du parachute est souvent compris entre 0 et 2._x000a_Cx of parachute might be between 0 a 2." sqref="C28:D28" xr:uid="{00000000-0002-0000-0100-000003000000}">
      <formula1>0</formula1>
      <formula2>2</formula2>
    </dataValidation>
    <dataValidation sqref="C11:D11" xr:uid="{00000000-0002-0000-0100-000004000000}"/>
    <dataValidation operator="greaterThanOrEqual" sqref="C10:D10" xr:uid="{00000000-0002-0000-0100-000005000000}"/>
    <dataValidation type="decimal" errorStyle="warning" showErrorMessage="1" errorTitle="Cx" error="Le Cx est souvent compris entre 0,3 et 0,7._x000a_Cx may be between 0,3 &amp; 0,7." sqref="C15:D15" xr:uid="{00000000-0002-0000-0100-000006000000}">
      <formula1>0.3</formula1>
      <formula2>0.7</formula2>
    </dataValidation>
    <dataValidation type="decimal" operator="greaterThanOrEqual" allowBlank="1" showErrorMessage="1" sqref="C18:D18" xr:uid="{00000000-0002-0000-0100-000007000000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00000000-0002-0000-0100-000008000000}">
      <formula1>75</formula1>
      <formula2>85</formula2>
    </dataValidation>
    <dataValidation type="whole" operator="greaterThanOrEqual" allowBlank="1" showErrorMessage="1" sqref="C20:D20" xr:uid="{00000000-0002-0000-0100-000009000000}">
      <formula1>0</formula1>
    </dataValidation>
    <dataValidation type="whole" allowBlank="1" showErrorMessage="1" sqref="M40" xr:uid="{00000000-0002-0000-0100-00000A000000}">
      <formula1>-360</formula1>
      <formula2>360</formula2>
    </dataValidation>
    <dataValidation type="list" showInputMessage="1" showErrorMessage="1" sqref="D23" xr:uid="{00000000-0002-0000-0100-00000B000000}">
      <formula1>Menu_sat</formula1>
    </dataValidation>
    <dataValidation type="whole" operator="greaterThanOrEqual" showErrorMessage="1" sqref="B43 B45 B51 B53" xr:uid="{00000000-0002-0000-0100-00000C000000}">
      <formula1>0</formula1>
    </dataValidation>
    <dataValidation type="list" showInputMessage="1" showErrorMessage="1" sqref="C25" xr:uid="{00000000-0002-0000-0100-00000D000000}">
      <formula1>IF(Depotage&lt;&gt;0,IF(LEFT(Type_propu,5)="Micro",$F$108,$F$103:$F$108),$F$102)</formula1>
    </dataValidation>
  </dataValidations>
  <hyperlinks>
    <hyperlink ref="B11" location="Stabilito!C17" display="Stabilito!C17" xr:uid="{00000000-0004-0000-0100-000000000000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 r:id="rId1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4" name="Spinner 1064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5" name="Spinner 1229">
              <controlPr defaultSize="0" print="0" autoPict="0">
                <anchor moveWithCells="1" sizeWithCells="1">
                  <from>
                    <xdr:col>1</xdr:col>
                    <xdr:colOff>981075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6" name="Spinner 1230">
              <controlPr defaultSize="0" print="0" autoPict="0">
                <anchor moveWithCells="1" sizeWithCells="1">
                  <from>
                    <xdr:col>1</xdr:col>
                    <xdr:colOff>981075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7" name="Spinner 1231">
              <controlPr defaultSize="0" print="0" autoPict="0">
                <anchor moveWithCells="1" sizeWithCells="1">
                  <from>
                    <xdr:col>1</xdr:col>
                    <xdr:colOff>981075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8" name="Spinner 4550">
              <controlPr defaultSize="0" print="0" autoPict="0">
                <anchor moveWithCells="1" sizeWithCells="1">
                  <from>
                    <xdr:col>1</xdr:col>
                    <xdr:colOff>981075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B75:B146"/>
  <sheetViews>
    <sheetView showGridLines="0" topLeftCell="A31" zoomScaleNormal="100" workbookViewId="0">
      <selection activeCell="M67" sqref="M67"/>
    </sheetView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:Z346"/>
  <sheetViews>
    <sheetView showGridLines="0" zoomScale="80" zoomScaleNormal="80" workbookViewId="0">
      <selection activeCell="K6" sqref="K6"/>
    </sheetView>
  </sheetViews>
  <sheetFormatPr baseColWidth="10" defaultRowHeight="12.75" x14ac:dyDescent="0.2"/>
  <cols>
    <col min="1" max="1" width="22.4257812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Pandora (Pro24-6G BS)</v>
      </c>
      <c r="B2" s="352">
        <f>VLOOKUP(A2,A26:B314,2,FALSE)</f>
        <v>198</v>
      </c>
      <c r="C2" s="363" t="s">
        <v>116</v>
      </c>
      <c r="D2" s="353">
        <f ca="1">INDIRECT(ADDRESS(B2,4))</f>
        <v>142.44</v>
      </c>
      <c r="E2" s="363" t="s">
        <v>115</v>
      </c>
      <c r="F2" s="354">
        <f ca="1">INDIRECT(ADDRESS(B2,6))</f>
        <v>192.06187401906058</v>
      </c>
      <c r="G2" s="363" t="s">
        <v>57</v>
      </c>
      <c r="H2" s="355">
        <f ca="1">INDIRECT(ADDRESS(B2,8))</f>
        <v>0.15989999999999999</v>
      </c>
      <c r="I2" s="363" t="s">
        <v>272</v>
      </c>
      <c r="J2" s="356">
        <f ca="1">INDIRECT(ADDRESS(B2,10))</f>
        <v>7.5599999999999987E-2</v>
      </c>
      <c r="K2" s="363" t="s">
        <v>59</v>
      </c>
      <c r="L2" s="355">
        <f ca="1">INDIRECT(ADDRESS(B2,12))</f>
        <v>8.43E-2</v>
      </c>
      <c r="M2" s="363" t="s">
        <v>58</v>
      </c>
      <c r="N2" s="357">
        <f ca="1">INDIRECT(ADDRESS(B2,14))</f>
        <v>114</v>
      </c>
      <c r="O2" s="363" t="s">
        <v>60</v>
      </c>
      <c r="P2" s="357">
        <f ca="1">INDIRECT(ADDRESS(B2,16))</f>
        <v>114</v>
      </c>
      <c r="Q2" s="363" t="s">
        <v>61</v>
      </c>
      <c r="R2" s="357">
        <f ca="1">INDIRECT(ADDRESS(B2,18))</f>
        <v>228</v>
      </c>
      <c r="S2" s="363" t="s">
        <v>62</v>
      </c>
      <c r="T2" s="357">
        <f ca="1">INDIRECT(ADDRESS(B2,20))</f>
        <v>24</v>
      </c>
      <c r="U2" s="363" t="s">
        <v>55</v>
      </c>
      <c r="V2" s="358" t="str">
        <f ca="1">INDIRECT(ADDRESS(B2,22))</f>
        <v>MiniN</v>
      </c>
      <c r="W2" s="463" t="s">
        <v>394</v>
      </c>
      <c r="X2" s="464">
        <f ca="1">INDIRECT(ADDRESS(B2,24))</f>
        <v>0.97</v>
      </c>
      <c r="Y2" s="463" t="s">
        <v>393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0.02</v>
      </c>
      <c r="D3" s="365">
        <f t="shared" ca="1" si="0"/>
        <v>0.04</v>
      </c>
      <c r="E3" s="365">
        <f t="shared" ca="1" si="0"/>
        <v>0.62</v>
      </c>
      <c r="F3" s="365">
        <f t="shared" ca="1" si="0"/>
        <v>0.66</v>
      </c>
      <c r="G3" s="365">
        <f t="shared" ca="1" si="0"/>
        <v>0.68</v>
      </c>
      <c r="H3" s="365">
        <f t="shared" ca="1" si="0"/>
        <v>0.8</v>
      </c>
      <c r="I3" s="365">
        <f t="shared" ca="1" si="0"/>
        <v>0.84</v>
      </c>
      <c r="J3" s="365">
        <f t="shared" ca="1" si="0"/>
        <v>0.88</v>
      </c>
      <c r="K3" s="365">
        <f t="shared" ca="1" si="0"/>
        <v>0.92</v>
      </c>
      <c r="L3" s="365">
        <f t="shared" ca="1" si="0"/>
        <v>0.96</v>
      </c>
      <c r="M3" s="365">
        <f t="shared" ca="1" si="0"/>
        <v>1</v>
      </c>
      <c r="N3" s="365">
        <f t="shared" ca="1" si="0"/>
        <v>1.08</v>
      </c>
      <c r="O3" s="365">
        <f t="shared" ca="1" si="0"/>
        <v>2</v>
      </c>
      <c r="P3" s="365">
        <f t="shared" ca="1" si="0"/>
        <v>2</v>
      </c>
      <c r="Q3" s="365">
        <f t="shared" ca="1" si="0"/>
        <v>2</v>
      </c>
      <c r="R3" s="365">
        <f t="shared" ca="1" si="0"/>
        <v>2</v>
      </c>
      <c r="S3" s="365">
        <f t="shared" ca="1" si="0"/>
        <v>2</v>
      </c>
      <c r="T3" s="365">
        <f t="shared" ca="1" si="0"/>
        <v>2</v>
      </c>
      <c r="U3" s="365">
        <f t="shared" ca="1" si="0"/>
        <v>2</v>
      </c>
      <c r="V3" s="365">
        <f t="shared" ca="1" si="0"/>
        <v>2</v>
      </c>
      <c r="W3" s="365">
        <f t="shared" ca="1" si="0"/>
        <v>2</v>
      </c>
      <c r="X3" s="365">
        <f ca="1">INDIRECT(ADDRESS($B2+1,COLUMN(X3)))</f>
        <v>2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250</v>
      </c>
      <c r="D4" s="368">
        <f t="shared" ca="1" si="1"/>
        <v>210</v>
      </c>
      <c r="E4" s="368">
        <f t="shared" ca="1" si="1"/>
        <v>160</v>
      </c>
      <c r="F4" s="368">
        <f t="shared" ca="1" si="1"/>
        <v>150</v>
      </c>
      <c r="G4" s="368">
        <f t="shared" ca="1" si="1"/>
        <v>142</v>
      </c>
      <c r="H4" s="368">
        <f t="shared" ca="1" si="1"/>
        <v>62</v>
      </c>
      <c r="I4" s="368">
        <f t="shared" ca="1" si="1"/>
        <v>48</v>
      </c>
      <c r="J4" s="368">
        <f t="shared" ca="1" si="1"/>
        <v>34</v>
      </c>
      <c r="K4" s="368">
        <f t="shared" ca="1" si="1"/>
        <v>24</v>
      </c>
      <c r="L4" s="368">
        <f t="shared" ca="1" si="1"/>
        <v>15</v>
      </c>
      <c r="M4" s="368">
        <f t="shared" ca="1" si="1"/>
        <v>10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275</v>
      </c>
    </row>
    <row r="26" spans="1:25" ht="13.5" thickBot="1" x14ac:dyDescent="0.25">
      <c r="A26" s="361" t="s">
        <v>308</v>
      </c>
      <c r="B26" s="359">
        <f>ROW(A26)</f>
        <v>26</v>
      </c>
      <c r="C26" s="363" t="s">
        <v>116</v>
      </c>
      <c r="D26" s="353">
        <f>SUM(B29:Y29)</f>
        <v>9.8449999999999989</v>
      </c>
      <c r="E26" s="363" t="s">
        <v>115</v>
      </c>
      <c r="F26" s="399">
        <f>D26/g/J26</f>
        <v>3.3452259599048584</v>
      </c>
      <c r="G26" s="363" t="s">
        <v>57</v>
      </c>
      <c r="H26" s="64">
        <v>0.3</v>
      </c>
      <c r="I26" s="363" t="s">
        <v>270</v>
      </c>
      <c r="J26" s="355">
        <f>H26-L26</f>
        <v>0.3</v>
      </c>
      <c r="K26" s="363" t="s">
        <v>271</v>
      </c>
      <c r="L26" s="64">
        <v>0</v>
      </c>
      <c r="M26" s="363" t="s">
        <v>58</v>
      </c>
      <c r="N26" s="65">
        <f>0.2*R26</f>
        <v>60</v>
      </c>
      <c r="O26" s="363" t="s">
        <v>60</v>
      </c>
      <c r="P26" s="65">
        <v>150</v>
      </c>
      <c r="Q26" s="363" t="s">
        <v>61</v>
      </c>
      <c r="R26" s="65">
        <v>300</v>
      </c>
      <c r="S26" s="363" t="s">
        <v>62</v>
      </c>
      <c r="T26" s="65">
        <v>90</v>
      </c>
      <c r="U26" s="363" t="s">
        <v>55</v>
      </c>
      <c r="V26" s="66" t="s">
        <v>275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117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309</v>
      </c>
      <c r="B31" s="359">
        <f>ROW(A31)</f>
        <v>31</v>
      </c>
      <c r="C31" s="363" t="s">
        <v>116</v>
      </c>
      <c r="D31" s="353">
        <f>SUM(B34:Y34)</f>
        <v>13.814500000000002</v>
      </c>
      <c r="E31" s="363" t="s">
        <v>115</v>
      </c>
      <c r="F31" s="399">
        <f>D31/g/J31</f>
        <v>3.1293464718541175</v>
      </c>
      <c r="G31" s="363" t="s">
        <v>57</v>
      </c>
      <c r="H31" s="64">
        <v>0.45</v>
      </c>
      <c r="I31" s="363" t="s">
        <v>270</v>
      </c>
      <c r="J31" s="355">
        <f>H31-L31</f>
        <v>0.45</v>
      </c>
      <c r="K31" s="363" t="s">
        <v>271</v>
      </c>
      <c r="L31" s="64">
        <v>0</v>
      </c>
      <c r="M31" s="363" t="s">
        <v>58</v>
      </c>
      <c r="N31" s="65">
        <f>0.3*R31</f>
        <v>90</v>
      </c>
      <c r="O31" s="363" t="s">
        <v>60</v>
      </c>
      <c r="P31" s="65">
        <v>150</v>
      </c>
      <c r="Q31" s="363" t="s">
        <v>61</v>
      </c>
      <c r="R31" s="65">
        <v>300</v>
      </c>
      <c r="S31" s="363" t="s">
        <v>62</v>
      </c>
      <c r="T31" s="65">
        <v>90</v>
      </c>
      <c r="U31" s="363" t="s">
        <v>55</v>
      </c>
      <c r="V31" s="66" t="s">
        <v>275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117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310</v>
      </c>
      <c r="B36" s="359">
        <f>ROW(A36)</f>
        <v>36</v>
      </c>
      <c r="C36" s="363" t="s">
        <v>116</v>
      </c>
      <c r="D36" s="353">
        <f>SUM(B39:Y39)</f>
        <v>17.144499999999997</v>
      </c>
      <c r="E36" s="363" t="s">
        <v>115</v>
      </c>
      <c r="F36" s="399">
        <f>D36/g/J36</f>
        <v>2.9127590893645934</v>
      </c>
      <c r="G36" s="363" t="s">
        <v>57</v>
      </c>
      <c r="H36" s="64">
        <v>0.6</v>
      </c>
      <c r="I36" s="363" t="s">
        <v>270</v>
      </c>
      <c r="J36" s="355">
        <f>H36-L36</f>
        <v>0.6</v>
      </c>
      <c r="K36" s="363" t="s">
        <v>271</v>
      </c>
      <c r="L36" s="64">
        <v>0</v>
      </c>
      <c r="M36" s="363" t="s">
        <v>58</v>
      </c>
      <c r="N36" s="65">
        <f>0.4*R36</f>
        <v>120</v>
      </c>
      <c r="O36" s="363" t="s">
        <v>60</v>
      </c>
      <c r="P36" s="65">
        <v>150</v>
      </c>
      <c r="Q36" s="363" t="s">
        <v>61</v>
      </c>
      <c r="R36" s="65">
        <v>300</v>
      </c>
      <c r="S36" s="363" t="s">
        <v>62</v>
      </c>
      <c r="T36" s="65">
        <v>90</v>
      </c>
      <c r="U36" s="363" t="s">
        <v>55</v>
      </c>
      <c r="V36" s="66" t="s">
        <v>275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117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311</v>
      </c>
      <c r="B41" s="359">
        <f>ROW(A41)</f>
        <v>41</v>
      </c>
      <c r="C41" s="363" t="s">
        <v>116</v>
      </c>
      <c r="D41" s="353">
        <f>SUM(B44:Y44)</f>
        <v>19.415000000000003</v>
      </c>
      <c r="E41" s="363" t="s">
        <v>115</v>
      </c>
      <c r="F41" s="399">
        <f>D41/g/J41</f>
        <v>2.6388039415562354</v>
      </c>
      <c r="G41" s="363" t="s">
        <v>57</v>
      </c>
      <c r="H41" s="64">
        <v>0.75</v>
      </c>
      <c r="I41" s="363" t="s">
        <v>270</v>
      </c>
      <c r="J41" s="355">
        <f>H41-L41</f>
        <v>0.75</v>
      </c>
      <c r="K41" s="363" t="s">
        <v>271</v>
      </c>
      <c r="L41" s="64">
        <v>0</v>
      </c>
      <c r="M41" s="363" t="s">
        <v>58</v>
      </c>
      <c r="N41" s="65">
        <f>0.5*R41</f>
        <v>150</v>
      </c>
      <c r="O41" s="363" t="s">
        <v>60</v>
      </c>
      <c r="P41" s="65">
        <v>150</v>
      </c>
      <c r="Q41" s="363" t="s">
        <v>61</v>
      </c>
      <c r="R41" s="65">
        <v>300</v>
      </c>
      <c r="S41" s="363" t="s">
        <v>62</v>
      </c>
      <c r="T41" s="65">
        <v>90</v>
      </c>
      <c r="U41" s="363" t="s">
        <v>55</v>
      </c>
      <c r="V41" s="66" t="s">
        <v>275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117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276</v>
      </c>
      <c r="B46" s="359">
        <f>ROW(A46)</f>
        <v>46</v>
      </c>
      <c r="C46" s="363" t="s">
        <v>116</v>
      </c>
      <c r="D46" s="353">
        <f>SUM(B49:Y49)</f>
        <v>12.8695</v>
      </c>
      <c r="E46" s="363" t="s">
        <v>115</v>
      </c>
      <c r="F46" s="399">
        <f>D46/g/J46</f>
        <v>3.2796890927624869</v>
      </c>
      <c r="G46" s="363" t="s">
        <v>57</v>
      </c>
      <c r="H46" s="64">
        <v>0.5</v>
      </c>
      <c r="I46" s="363" t="s">
        <v>270</v>
      </c>
      <c r="J46" s="355">
        <f>H46-L46</f>
        <v>0.4</v>
      </c>
      <c r="K46" s="363" t="s">
        <v>271</v>
      </c>
      <c r="L46" s="64">
        <v>0.1</v>
      </c>
      <c r="M46" s="363" t="s">
        <v>58</v>
      </c>
      <c r="N46" s="65">
        <f>0.2*R46</f>
        <v>60</v>
      </c>
      <c r="O46" s="363" t="s">
        <v>60</v>
      </c>
      <c r="P46" s="65">
        <v>150</v>
      </c>
      <c r="Q46" s="363" t="s">
        <v>61</v>
      </c>
      <c r="R46" s="65">
        <v>300</v>
      </c>
      <c r="S46" s="363" t="s">
        <v>62</v>
      </c>
      <c r="T46" s="65">
        <v>98</v>
      </c>
      <c r="U46" s="363" t="s">
        <v>55</v>
      </c>
      <c r="V46" s="66" t="s">
        <v>275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117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277</v>
      </c>
      <c r="B51" s="359">
        <f>ROW(A51)</f>
        <v>51</v>
      </c>
      <c r="C51" s="363" t="s">
        <v>116</v>
      </c>
      <c r="D51" s="353">
        <f>SUM(B54:Y54)</f>
        <v>18.123500000000003</v>
      </c>
      <c r="E51" s="363" t="s">
        <v>115</v>
      </c>
      <c r="F51" s="399">
        <f>D51/g/J51</f>
        <v>3.0790859667006463</v>
      </c>
      <c r="G51" s="363" t="s">
        <v>57</v>
      </c>
      <c r="H51" s="64">
        <v>0.7</v>
      </c>
      <c r="I51" s="363" t="s">
        <v>270</v>
      </c>
      <c r="J51" s="355">
        <f>H51-L51</f>
        <v>0.6</v>
      </c>
      <c r="K51" s="363" t="s">
        <v>271</v>
      </c>
      <c r="L51" s="64">
        <v>0.1</v>
      </c>
      <c r="M51" s="363" t="s">
        <v>58</v>
      </c>
      <c r="N51" s="65">
        <f>0.3*R51</f>
        <v>90</v>
      </c>
      <c r="O51" s="363" t="s">
        <v>60</v>
      </c>
      <c r="P51" s="65">
        <v>150</v>
      </c>
      <c r="Q51" s="363" t="s">
        <v>61</v>
      </c>
      <c r="R51" s="65">
        <v>300</v>
      </c>
      <c r="S51" s="363" t="s">
        <v>62</v>
      </c>
      <c r="T51" s="65">
        <v>98</v>
      </c>
      <c r="U51" s="363" t="s">
        <v>55</v>
      </c>
      <c r="V51" s="66" t="s">
        <v>275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117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278</v>
      </c>
      <c r="B56" s="359">
        <f>ROW(A56)</f>
        <v>56</v>
      </c>
      <c r="C56" s="363" t="s">
        <v>116</v>
      </c>
      <c r="D56" s="353">
        <f>SUM(B59:Y59)</f>
        <v>22.610000000000003</v>
      </c>
      <c r="E56" s="363" t="s">
        <v>115</v>
      </c>
      <c r="F56" s="399">
        <f>D56/g/J56</f>
        <v>2.88098878695209</v>
      </c>
      <c r="G56" s="363" t="s">
        <v>57</v>
      </c>
      <c r="H56" s="64">
        <v>0.9</v>
      </c>
      <c r="I56" s="363" t="s">
        <v>270</v>
      </c>
      <c r="J56" s="355">
        <f>H56-L56</f>
        <v>0.8</v>
      </c>
      <c r="K56" s="363" t="s">
        <v>271</v>
      </c>
      <c r="L56" s="64">
        <v>0.1</v>
      </c>
      <c r="M56" s="363" t="s">
        <v>58</v>
      </c>
      <c r="N56" s="65">
        <f>0.4*R56</f>
        <v>120</v>
      </c>
      <c r="O56" s="363" t="s">
        <v>60</v>
      </c>
      <c r="P56" s="65">
        <v>150</v>
      </c>
      <c r="Q56" s="363" t="s">
        <v>61</v>
      </c>
      <c r="R56" s="65">
        <v>300</v>
      </c>
      <c r="S56" s="363" t="s">
        <v>62</v>
      </c>
      <c r="T56" s="65">
        <v>98</v>
      </c>
      <c r="U56" s="363" t="s">
        <v>55</v>
      </c>
      <c r="V56" s="66" t="s">
        <v>275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117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279</v>
      </c>
      <c r="B61" s="359">
        <f>ROW(A61)</f>
        <v>61</v>
      </c>
      <c r="C61" s="363" t="s">
        <v>116</v>
      </c>
      <c r="D61" s="353">
        <f>SUM(B64:Y64)</f>
        <v>25.874000000000006</v>
      </c>
      <c r="E61" s="363" t="s">
        <v>115</v>
      </c>
      <c r="F61" s="399">
        <f>D61/g/J61</f>
        <v>2.6375127420998985</v>
      </c>
      <c r="G61" s="363" t="s">
        <v>57</v>
      </c>
      <c r="H61" s="64">
        <v>1.1000000000000001</v>
      </c>
      <c r="I61" s="363" t="s">
        <v>270</v>
      </c>
      <c r="J61" s="355">
        <f>H61-L61</f>
        <v>1</v>
      </c>
      <c r="K61" s="363" t="s">
        <v>271</v>
      </c>
      <c r="L61" s="64">
        <v>0.1</v>
      </c>
      <c r="M61" s="363" t="s">
        <v>58</v>
      </c>
      <c r="N61" s="65">
        <f>0.5*R61</f>
        <v>150</v>
      </c>
      <c r="O61" s="363" t="s">
        <v>60</v>
      </c>
      <c r="P61" s="65">
        <v>150</v>
      </c>
      <c r="Q61" s="363" t="s">
        <v>61</v>
      </c>
      <c r="R61" s="65">
        <v>300</v>
      </c>
      <c r="S61" s="363" t="s">
        <v>62</v>
      </c>
      <c r="T61" s="65">
        <v>98</v>
      </c>
      <c r="U61" s="363" t="s">
        <v>55</v>
      </c>
      <c r="V61" s="66" t="s">
        <v>275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117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182</v>
      </c>
    </row>
    <row r="67" spans="1:26" ht="13.5" thickBot="1" x14ac:dyDescent="0.25">
      <c r="A67" s="361" t="s">
        <v>112</v>
      </c>
      <c r="B67" s="359">
        <f>ROW(A67)</f>
        <v>67</v>
      </c>
      <c r="C67" s="363" t="s">
        <v>116</v>
      </c>
      <c r="D67" s="353">
        <f>SUM(B70:Y70)</f>
        <v>2.65</v>
      </c>
      <c r="E67" s="363" t="s">
        <v>115</v>
      </c>
      <c r="F67" s="354">
        <f>D67/g/J67</f>
        <v>54.026503567787969</v>
      </c>
      <c r="G67" s="363" t="s">
        <v>57</v>
      </c>
      <c r="H67" s="64">
        <v>1.4999999999999999E-2</v>
      </c>
      <c r="I67" s="363" t="s">
        <v>270</v>
      </c>
      <c r="J67" s="355">
        <f>H67-L67</f>
        <v>4.9999999999999992E-3</v>
      </c>
      <c r="K67" s="363" t="s">
        <v>271</v>
      </c>
      <c r="L67" s="64">
        <v>0.01</v>
      </c>
      <c r="M67" s="363" t="s">
        <v>58</v>
      </c>
      <c r="N67" s="65">
        <v>30</v>
      </c>
      <c r="O67" s="363" t="s">
        <v>60</v>
      </c>
      <c r="P67" s="65">
        <v>30</v>
      </c>
      <c r="Q67" s="363" t="s">
        <v>61</v>
      </c>
      <c r="R67" s="65">
        <v>70</v>
      </c>
      <c r="S67" s="363" t="s">
        <v>62</v>
      </c>
      <c r="T67" s="65">
        <v>15</v>
      </c>
      <c r="U67" s="363" t="s">
        <v>55</v>
      </c>
      <c r="V67" s="66" t="s">
        <v>118</v>
      </c>
      <c r="W67" s="463" t="s">
        <v>394</v>
      </c>
      <c r="X67" s="465">
        <v>0.32</v>
      </c>
      <c r="Y67" s="463" t="s">
        <v>393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117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113</v>
      </c>
      <c r="B72" s="359">
        <f>ROW(A72)</f>
        <v>72</v>
      </c>
      <c r="C72" s="363" t="s">
        <v>116</v>
      </c>
      <c r="D72" s="353">
        <f>SUM(B75:Y75)</f>
        <v>5.25</v>
      </c>
      <c r="E72" s="363" t="s">
        <v>115</v>
      </c>
      <c r="F72" s="354">
        <f>D72/g/J72</f>
        <v>89.1946992864424</v>
      </c>
      <c r="G72" s="363" t="s">
        <v>57</v>
      </c>
      <c r="H72" s="64">
        <v>0.02</v>
      </c>
      <c r="I72" s="363" t="s">
        <v>270</v>
      </c>
      <c r="J72" s="355">
        <f>H72-L72</f>
        <v>6.0000000000000001E-3</v>
      </c>
      <c r="K72" s="363" t="s">
        <v>271</v>
      </c>
      <c r="L72" s="64">
        <v>1.4E-2</v>
      </c>
      <c r="M72" s="363" t="s">
        <v>58</v>
      </c>
      <c r="N72" s="65">
        <v>30</v>
      </c>
      <c r="O72" s="363" t="s">
        <v>60</v>
      </c>
      <c r="P72" s="65">
        <v>30</v>
      </c>
      <c r="Q72" s="363" t="s">
        <v>61</v>
      </c>
      <c r="R72" s="65">
        <v>70</v>
      </c>
      <c r="S72" s="363" t="s">
        <v>62</v>
      </c>
      <c r="T72" s="65">
        <v>15</v>
      </c>
      <c r="U72" s="363" t="s">
        <v>55</v>
      </c>
      <c r="V72" s="66" t="s">
        <v>118</v>
      </c>
      <c r="W72" s="463" t="s">
        <v>394</v>
      </c>
      <c r="X72" s="465">
        <v>1.2</v>
      </c>
      <c r="Y72" s="463" t="s">
        <v>393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117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114</v>
      </c>
      <c r="B77" s="359">
        <f>ROW(A77)</f>
        <v>77</v>
      </c>
      <c r="C77" s="363" t="s">
        <v>116</v>
      </c>
      <c r="D77" s="353">
        <f>SUM(B80:Y80)</f>
        <v>10.26</v>
      </c>
      <c r="E77" s="363" t="s">
        <v>115</v>
      </c>
      <c r="F77" s="354">
        <f>D77/g/J77</f>
        <v>80.451658433309802</v>
      </c>
      <c r="G77" s="363" t="s">
        <v>57</v>
      </c>
      <c r="H77" s="64">
        <v>2.4E-2</v>
      </c>
      <c r="I77" s="363" t="s">
        <v>270</v>
      </c>
      <c r="J77" s="355">
        <f>H77-L77</f>
        <v>1.3000000000000001E-2</v>
      </c>
      <c r="K77" s="363" t="s">
        <v>271</v>
      </c>
      <c r="L77" s="64">
        <v>1.0999999999999999E-2</v>
      </c>
      <c r="M77" s="363" t="s">
        <v>58</v>
      </c>
      <c r="N77" s="65">
        <v>30</v>
      </c>
      <c r="O77" s="363" t="s">
        <v>60</v>
      </c>
      <c r="P77" s="65">
        <v>30</v>
      </c>
      <c r="Q77" s="363" t="s">
        <v>61</v>
      </c>
      <c r="R77" s="65">
        <v>70</v>
      </c>
      <c r="S77" s="363" t="s">
        <v>62</v>
      </c>
      <c r="T77" s="65">
        <v>15</v>
      </c>
      <c r="U77" s="363" t="s">
        <v>55</v>
      </c>
      <c r="V77" s="66" t="s">
        <v>118</v>
      </c>
      <c r="W77" s="463" t="s">
        <v>394</v>
      </c>
      <c r="X77" s="465">
        <v>1.7</v>
      </c>
      <c r="Y77" s="463" t="s">
        <v>393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117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329</v>
      </c>
      <c r="B82" s="359">
        <f>ROW(A82)</f>
        <v>82</v>
      </c>
      <c r="C82" s="363" t="s">
        <v>116</v>
      </c>
      <c r="D82" s="353">
        <f>SUM(B85:Y85)</f>
        <v>20.52</v>
      </c>
      <c r="E82" s="363" t="s">
        <v>115</v>
      </c>
      <c r="F82" s="354">
        <f>D82/g/J82</f>
        <v>80.451658433309802</v>
      </c>
      <c r="G82" s="363" t="s">
        <v>57</v>
      </c>
      <c r="H82" s="64">
        <f>H77*2</f>
        <v>4.8000000000000001E-2</v>
      </c>
      <c r="I82" s="363" t="s">
        <v>270</v>
      </c>
      <c r="J82" s="355">
        <f>H82-L82</f>
        <v>2.6000000000000002E-2</v>
      </c>
      <c r="K82" s="363" t="s">
        <v>271</v>
      </c>
      <c r="L82" s="64">
        <f>L77*2</f>
        <v>2.1999999999999999E-2</v>
      </c>
      <c r="M82" s="363" t="s">
        <v>58</v>
      </c>
      <c r="N82" s="65">
        <v>30</v>
      </c>
      <c r="O82" s="363" t="s">
        <v>60</v>
      </c>
      <c r="P82" s="65">
        <v>30</v>
      </c>
      <c r="Q82" s="363" t="s">
        <v>61</v>
      </c>
      <c r="R82" s="65">
        <v>70</v>
      </c>
      <c r="S82" s="363" t="s">
        <v>62</v>
      </c>
      <c r="T82" s="65">
        <v>30</v>
      </c>
      <c r="U82" s="363" t="s">
        <v>55</v>
      </c>
      <c r="V82" s="66" t="s">
        <v>118</v>
      </c>
      <c r="W82" s="463" t="s">
        <v>394</v>
      </c>
      <c r="X82" s="465">
        <v>1.7</v>
      </c>
      <c r="Y82" s="463" t="s">
        <v>393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117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330</v>
      </c>
      <c r="B87" s="359">
        <f>ROW(A87)</f>
        <v>87</v>
      </c>
      <c r="C87" s="363" t="s">
        <v>116</v>
      </c>
      <c r="D87" s="353">
        <f>SUM(B90:Y90)</f>
        <v>30.779999999999998</v>
      </c>
      <c r="E87" s="363" t="s">
        <v>115</v>
      </c>
      <c r="F87" s="354">
        <f>D87/g/J87</f>
        <v>80.451658433309774</v>
      </c>
      <c r="G87" s="363" t="s">
        <v>57</v>
      </c>
      <c r="H87" s="64">
        <f>H77*3</f>
        <v>7.2000000000000008E-2</v>
      </c>
      <c r="I87" s="363" t="s">
        <v>270</v>
      </c>
      <c r="J87" s="355">
        <f>H87-L87</f>
        <v>3.9000000000000007E-2</v>
      </c>
      <c r="K87" s="363" t="s">
        <v>271</v>
      </c>
      <c r="L87" s="64">
        <f>L77*3</f>
        <v>3.3000000000000002E-2</v>
      </c>
      <c r="M87" s="363" t="s">
        <v>58</v>
      </c>
      <c r="N87" s="65">
        <v>30</v>
      </c>
      <c r="O87" s="363" t="s">
        <v>60</v>
      </c>
      <c r="P87" s="65">
        <v>30</v>
      </c>
      <c r="Q87" s="363" t="s">
        <v>61</v>
      </c>
      <c r="R87" s="65">
        <v>70</v>
      </c>
      <c r="S87" s="363" t="s">
        <v>62</v>
      </c>
      <c r="T87" s="65">
        <v>40</v>
      </c>
      <c r="U87" s="363" t="s">
        <v>55</v>
      </c>
      <c r="V87" s="66" t="s">
        <v>118</v>
      </c>
      <c r="W87" s="463" t="s">
        <v>394</v>
      </c>
      <c r="X87" s="465">
        <v>1.7</v>
      </c>
      <c r="Y87" s="463" t="s">
        <v>393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117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541</v>
      </c>
      <c r="B92" s="359">
        <f>ROW(A92)</f>
        <v>92</v>
      </c>
      <c r="C92" s="363" t="s">
        <v>116</v>
      </c>
      <c r="D92" s="353">
        <f>SUM(B95:Y95)</f>
        <v>19.961989000000003</v>
      </c>
      <c r="E92" s="363" t="s">
        <v>115</v>
      </c>
      <c r="F92" s="354">
        <f>D92/g/J92</f>
        <v>118.30588744280873</v>
      </c>
      <c r="G92" s="363" t="s">
        <v>57</v>
      </c>
      <c r="H92" s="64">
        <v>2.8199999999999999E-2</v>
      </c>
      <c r="I92" s="363" t="s">
        <v>270</v>
      </c>
      <c r="J92" s="355">
        <f>H92-L92</f>
        <v>1.72E-2</v>
      </c>
      <c r="K92" s="363" t="s">
        <v>271</v>
      </c>
      <c r="L92" s="64">
        <v>1.0999999999999999E-2</v>
      </c>
      <c r="M92" s="363" t="s">
        <v>58</v>
      </c>
      <c r="N92" s="65">
        <v>30</v>
      </c>
      <c r="O92" s="363" t="s">
        <v>60</v>
      </c>
      <c r="P92" s="65">
        <v>30</v>
      </c>
      <c r="Q92" s="363" t="s">
        <v>61</v>
      </c>
      <c r="R92" s="65">
        <v>70</v>
      </c>
      <c r="S92" s="363" t="s">
        <v>62</v>
      </c>
      <c r="T92" s="65">
        <v>18</v>
      </c>
      <c r="U92" s="363" t="s">
        <v>55</v>
      </c>
      <c r="V92" s="66" t="s">
        <v>401</v>
      </c>
      <c r="W92" s="463" t="s">
        <v>394</v>
      </c>
      <c r="X92" s="465">
        <v>2.1</v>
      </c>
      <c r="Y92" s="463" t="s">
        <v>393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117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539</v>
      </c>
      <c r="B97" s="359">
        <f>ROW(A97)</f>
        <v>97</v>
      </c>
      <c r="C97" s="363" t="s">
        <v>116</v>
      </c>
      <c r="D97" s="353">
        <f>SUM(B100:Y100)</f>
        <v>39.923978000000005</v>
      </c>
      <c r="E97" s="363" t="s">
        <v>115</v>
      </c>
      <c r="F97" s="354">
        <f>D97/g/J97</f>
        <v>118.30588744280873</v>
      </c>
      <c r="G97" s="363" t="s">
        <v>57</v>
      </c>
      <c r="H97" s="64">
        <f>H92*2</f>
        <v>5.6399999999999999E-2</v>
      </c>
      <c r="I97" s="363" t="s">
        <v>270</v>
      </c>
      <c r="J97" s="355">
        <f>H97-L97</f>
        <v>3.44E-2</v>
      </c>
      <c r="K97" s="363" t="s">
        <v>271</v>
      </c>
      <c r="L97" s="64">
        <f>L92*2</f>
        <v>2.1999999999999999E-2</v>
      </c>
      <c r="M97" s="363" t="s">
        <v>58</v>
      </c>
      <c r="N97" s="65">
        <v>30</v>
      </c>
      <c r="O97" s="363" t="s">
        <v>60</v>
      </c>
      <c r="P97" s="65">
        <v>30</v>
      </c>
      <c r="Q97" s="363" t="s">
        <v>61</v>
      </c>
      <c r="R97" s="65">
        <v>70</v>
      </c>
      <c r="S97" s="363" t="s">
        <v>62</v>
      </c>
      <c r="T97" s="65">
        <v>30</v>
      </c>
      <c r="U97" s="363" t="s">
        <v>55</v>
      </c>
      <c r="V97" s="66" t="s">
        <v>401</v>
      </c>
      <c r="W97" s="463" t="s">
        <v>394</v>
      </c>
      <c r="X97" s="465">
        <v>2.1</v>
      </c>
      <c r="Y97" s="463" t="s">
        <v>393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117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540</v>
      </c>
      <c r="B102" s="359">
        <f>ROW(A102)</f>
        <v>102</v>
      </c>
      <c r="C102" s="363" t="s">
        <v>116</v>
      </c>
      <c r="D102" s="353">
        <f>SUM(B105:Y105)</f>
        <v>59.885967000000008</v>
      </c>
      <c r="E102" s="363" t="s">
        <v>115</v>
      </c>
      <c r="F102" s="354">
        <f>D102/g/J102</f>
        <v>118.30588744280874</v>
      </c>
      <c r="G102" s="363" t="s">
        <v>57</v>
      </c>
      <c r="H102" s="64">
        <f>H92*3</f>
        <v>8.4599999999999995E-2</v>
      </c>
      <c r="I102" s="363" t="s">
        <v>270</v>
      </c>
      <c r="J102" s="355">
        <f>H102-L102</f>
        <v>5.1599999999999993E-2</v>
      </c>
      <c r="K102" s="363" t="s">
        <v>271</v>
      </c>
      <c r="L102" s="64">
        <f>L92*3</f>
        <v>3.3000000000000002E-2</v>
      </c>
      <c r="M102" s="363" t="s">
        <v>58</v>
      </c>
      <c r="N102" s="65">
        <v>30</v>
      </c>
      <c r="O102" s="363" t="s">
        <v>60</v>
      </c>
      <c r="P102" s="65">
        <v>30</v>
      </c>
      <c r="Q102" s="363" t="s">
        <v>61</v>
      </c>
      <c r="R102" s="65">
        <v>70</v>
      </c>
      <c r="S102" s="363" t="s">
        <v>62</v>
      </c>
      <c r="T102" s="65">
        <v>40</v>
      </c>
      <c r="U102" s="363" t="s">
        <v>55</v>
      </c>
      <c r="V102" s="66" t="s">
        <v>401</v>
      </c>
      <c r="W102" s="463" t="s">
        <v>394</v>
      </c>
      <c r="X102" s="465">
        <v>2.1</v>
      </c>
      <c r="Y102" s="463" t="s">
        <v>393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117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316</v>
      </c>
    </row>
    <row r="108" spans="1:26" ht="13.5" thickBot="1" x14ac:dyDescent="0.25">
      <c r="A108" s="361" t="s">
        <v>319</v>
      </c>
      <c r="B108" s="359">
        <f>ROW(A108)</f>
        <v>108</v>
      </c>
      <c r="C108" s="363" t="s">
        <v>116</v>
      </c>
      <c r="D108" s="353">
        <f>SUM(B111:Y111)</f>
        <v>24.269519000000003</v>
      </c>
      <c r="E108" s="363" t="s">
        <v>115</v>
      </c>
      <c r="F108" s="354">
        <f>D108/g/J108</f>
        <v>154.62231778797147</v>
      </c>
      <c r="G108" s="363" t="s">
        <v>57</v>
      </c>
      <c r="H108" s="64">
        <v>5.1999999999999998E-2</v>
      </c>
      <c r="I108" s="363" t="s">
        <v>270</v>
      </c>
      <c r="J108" s="355">
        <f>H108-L108</f>
        <v>1.6E-2</v>
      </c>
      <c r="K108" s="363" t="s">
        <v>271</v>
      </c>
      <c r="L108" s="64">
        <v>3.5999999999999997E-2</v>
      </c>
      <c r="M108" s="363" t="s">
        <v>58</v>
      </c>
      <c r="N108" s="396">
        <v>35</v>
      </c>
      <c r="O108" s="363" t="s">
        <v>60</v>
      </c>
      <c r="P108" s="396">
        <v>35</v>
      </c>
      <c r="Q108" s="363" t="s">
        <v>61</v>
      </c>
      <c r="R108" s="65">
        <v>69</v>
      </c>
      <c r="S108" s="363" t="s">
        <v>62</v>
      </c>
      <c r="T108" s="65">
        <v>24</v>
      </c>
      <c r="U108" s="363" t="s">
        <v>55</v>
      </c>
      <c r="V108" s="66" t="s">
        <v>399</v>
      </c>
      <c r="W108" s="463" t="s">
        <v>394</v>
      </c>
      <c r="X108" s="465">
        <v>1</v>
      </c>
      <c r="Y108" s="463" t="s">
        <v>393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117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417</v>
      </c>
      <c r="B113" s="359">
        <f>ROW(A113)</f>
        <v>113</v>
      </c>
      <c r="C113" s="363" t="s">
        <v>116</v>
      </c>
      <c r="D113" s="353">
        <f>SUM(B116:Y116)</f>
        <v>24.488898000000002</v>
      </c>
      <c r="E113" s="363" t="s">
        <v>115</v>
      </c>
      <c r="F113" s="354">
        <f>D113/g/J113</f>
        <v>121.771701350041</v>
      </c>
      <c r="G113" s="363" t="s">
        <v>57</v>
      </c>
      <c r="H113" s="64">
        <v>5.6500000000000002E-2</v>
      </c>
      <c r="I113" s="363" t="s">
        <v>270</v>
      </c>
      <c r="J113" s="355">
        <f>H113-L113</f>
        <v>2.0500000000000004E-2</v>
      </c>
      <c r="K113" s="363" t="s">
        <v>271</v>
      </c>
      <c r="L113" s="64">
        <v>3.5999999999999997E-2</v>
      </c>
      <c r="M113" s="363" t="s">
        <v>58</v>
      </c>
      <c r="N113" s="396">
        <v>35</v>
      </c>
      <c r="O113" s="363" t="s">
        <v>60</v>
      </c>
      <c r="P113" s="396">
        <v>35</v>
      </c>
      <c r="Q113" s="363" t="s">
        <v>61</v>
      </c>
      <c r="R113" s="65">
        <v>69</v>
      </c>
      <c r="S113" s="363" t="s">
        <v>62</v>
      </c>
      <c r="T113" s="65">
        <v>24</v>
      </c>
      <c r="U113" s="363" t="s">
        <v>55</v>
      </c>
      <c r="V113" s="66" t="s">
        <v>400</v>
      </c>
      <c r="W113" s="463" t="s">
        <v>394</v>
      </c>
      <c r="X113" s="465">
        <v>0.33</v>
      </c>
      <c r="Y113" s="463" t="s">
        <v>393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117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320</v>
      </c>
      <c r="B118" s="359">
        <f>ROW(A118)</f>
        <v>118</v>
      </c>
      <c r="C118" s="363" t="s">
        <v>116</v>
      </c>
      <c r="D118" s="353">
        <f>SUM(B121:Y121)</f>
        <v>26.083982500000001</v>
      </c>
      <c r="E118" s="363" t="s">
        <v>115</v>
      </c>
      <c r="F118" s="354">
        <f>D118/g/J118</f>
        <v>166.18235537716615</v>
      </c>
      <c r="G118" s="363" t="s">
        <v>57</v>
      </c>
      <c r="H118" s="64">
        <v>5.1999999999999998E-2</v>
      </c>
      <c r="I118" s="363" t="s">
        <v>270</v>
      </c>
      <c r="J118" s="355">
        <f>H118-L118</f>
        <v>1.6E-2</v>
      </c>
      <c r="K118" s="363" t="s">
        <v>271</v>
      </c>
      <c r="L118" s="64">
        <v>3.5999999999999997E-2</v>
      </c>
      <c r="M118" s="363" t="s">
        <v>58</v>
      </c>
      <c r="N118" s="396">
        <v>35</v>
      </c>
      <c r="O118" s="363" t="s">
        <v>60</v>
      </c>
      <c r="P118" s="396">
        <v>35</v>
      </c>
      <c r="Q118" s="363" t="s">
        <v>61</v>
      </c>
      <c r="R118" s="65">
        <v>69</v>
      </c>
      <c r="S118" s="363" t="s">
        <v>62</v>
      </c>
      <c r="T118" s="65">
        <v>24</v>
      </c>
      <c r="U118" s="363" t="s">
        <v>55</v>
      </c>
      <c r="V118" s="66" t="s">
        <v>399</v>
      </c>
      <c r="W118" s="463" t="s">
        <v>394</v>
      </c>
      <c r="X118" s="465">
        <v>0.85</v>
      </c>
      <c r="Y118" s="463" t="s">
        <v>393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117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389</v>
      </c>
    </row>
    <row r="123" spans="1:26" ht="13.5" thickBot="1" x14ac:dyDescent="0.25">
      <c r="A123" s="361" t="s">
        <v>390</v>
      </c>
      <c r="B123" s="359">
        <f>ROW(A123)</f>
        <v>123</v>
      </c>
      <c r="C123" s="363" t="s">
        <v>116</v>
      </c>
      <c r="D123" s="353">
        <f>SUM(B126:Y126)</f>
        <v>49.788765499999997</v>
      </c>
      <c r="E123" s="363" t="s">
        <v>115</v>
      </c>
      <c r="F123" s="354">
        <v>231</v>
      </c>
      <c r="G123" s="363" t="s">
        <v>57</v>
      </c>
      <c r="H123" s="64">
        <v>7.2999999999999995E-2</v>
      </c>
      <c r="I123" s="363" t="s">
        <v>270</v>
      </c>
      <c r="J123" s="355">
        <f>H123-L123</f>
        <v>2.7999999999999997E-2</v>
      </c>
      <c r="K123" s="363" t="s">
        <v>271</v>
      </c>
      <c r="L123" s="64">
        <v>4.4999999999999998E-2</v>
      </c>
      <c r="M123" s="363" t="s">
        <v>58</v>
      </c>
      <c r="N123" s="396">
        <v>50</v>
      </c>
      <c r="O123" s="363" t="s">
        <v>60</v>
      </c>
      <c r="P123" s="396">
        <v>50</v>
      </c>
      <c r="Q123" s="363" t="s">
        <v>61</v>
      </c>
      <c r="R123" s="65">
        <v>101</v>
      </c>
      <c r="S123" s="363" t="s">
        <v>62</v>
      </c>
      <c r="T123" s="65">
        <v>24</v>
      </c>
      <c r="U123" s="363" t="s">
        <v>55</v>
      </c>
      <c r="V123" s="66" t="s">
        <v>120</v>
      </c>
      <c r="W123" s="463" t="s">
        <v>394</v>
      </c>
      <c r="X123" s="465">
        <v>1</v>
      </c>
      <c r="Y123" s="463" t="s">
        <v>393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117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391</v>
      </c>
      <c r="B128" s="359">
        <f>ROW(A128)</f>
        <v>128</v>
      </c>
      <c r="C128" s="363" t="s">
        <v>116</v>
      </c>
      <c r="D128" s="353">
        <f>SUM(B131:Y131)</f>
        <v>52.815674000000008</v>
      </c>
      <c r="E128" s="363" t="s">
        <v>115</v>
      </c>
      <c r="F128" s="354">
        <v>239</v>
      </c>
      <c r="G128" s="363" t="s">
        <v>57</v>
      </c>
      <c r="H128" s="64">
        <v>7.2999999999999995E-2</v>
      </c>
      <c r="I128" s="363" t="s">
        <v>270</v>
      </c>
      <c r="J128" s="355">
        <f>H128-L128</f>
        <v>2.8999999999999998E-2</v>
      </c>
      <c r="K128" s="363" t="s">
        <v>271</v>
      </c>
      <c r="L128" s="64">
        <v>4.3999999999999997E-2</v>
      </c>
      <c r="M128" s="363" t="s">
        <v>58</v>
      </c>
      <c r="N128" s="396">
        <v>50</v>
      </c>
      <c r="O128" s="363" t="s">
        <v>60</v>
      </c>
      <c r="P128" s="396">
        <v>50</v>
      </c>
      <c r="Q128" s="363" t="s">
        <v>61</v>
      </c>
      <c r="R128" s="65">
        <v>101</v>
      </c>
      <c r="S128" s="363" t="s">
        <v>62</v>
      </c>
      <c r="T128" s="65">
        <v>24</v>
      </c>
      <c r="U128" s="363" t="s">
        <v>55</v>
      </c>
      <c r="V128" s="66" t="s">
        <v>120</v>
      </c>
      <c r="W128" s="463" t="s">
        <v>394</v>
      </c>
      <c r="X128" s="465">
        <v>0.77</v>
      </c>
      <c r="Y128" s="463" t="s">
        <v>393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117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313</v>
      </c>
    </row>
    <row r="133" spans="1:26" ht="13.5" thickBot="1" x14ac:dyDescent="0.25">
      <c r="A133" s="361" t="s">
        <v>381</v>
      </c>
      <c r="B133" s="359">
        <f>ROW(A133)</f>
        <v>133</v>
      </c>
      <c r="C133" s="363" t="s">
        <v>116</v>
      </c>
      <c r="D133" s="353">
        <f>SUM(B136:Y136)</f>
        <v>41.835000000000015</v>
      </c>
      <c r="E133" s="363" t="s">
        <v>115</v>
      </c>
      <c r="F133" s="354">
        <f>D133/g/J133</f>
        <v>121.84359982525126</v>
      </c>
      <c r="G133" s="363" t="s">
        <v>57</v>
      </c>
      <c r="H133" s="64">
        <v>0.104</v>
      </c>
      <c r="I133" s="363" t="s">
        <v>270</v>
      </c>
      <c r="J133" s="355">
        <f>H133-L133</f>
        <v>3.4999999999999989E-2</v>
      </c>
      <c r="K133" s="363" t="s">
        <v>271</v>
      </c>
      <c r="L133" s="64">
        <v>6.9000000000000006E-2</v>
      </c>
      <c r="M133" s="363" t="s">
        <v>58</v>
      </c>
      <c r="N133" s="65">
        <v>49</v>
      </c>
      <c r="O133" s="363" t="s">
        <v>60</v>
      </c>
      <c r="P133" s="65">
        <v>49</v>
      </c>
      <c r="Q133" s="363" t="s">
        <v>61</v>
      </c>
      <c r="R133" s="65">
        <v>98</v>
      </c>
      <c r="S133" s="363" t="s">
        <v>62</v>
      </c>
      <c r="T133" s="65">
        <v>29</v>
      </c>
      <c r="U133" s="363" t="s">
        <v>55</v>
      </c>
      <c r="V133" s="66" t="s">
        <v>399</v>
      </c>
      <c r="W133" s="463" t="s">
        <v>394</v>
      </c>
      <c r="X133" s="465">
        <v>1.07</v>
      </c>
      <c r="Y133" s="463" t="s">
        <v>393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117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382</v>
      </c>
      <c r="B138" s="359">
        <f>ROW(A138)</f>
        <v>138</v>
      </c>
      <c r="C138" s="363" t="s">
        <v>116</v>
      </c>
      <c r="D138" s="353">
        <f>SUM(B141:Y141)</f>
        <v>52.564999999999998</v>
      </c>
      <c r="E138" s="363" t="s">
        <v>115</v>
      </c>
      <c r="F138" s="354">
        <f>D138/g/J138</f>
        <v>167.44712028542301</v>
      </c>
      <c r="G138" s="363" t="s">
        <v>57</v>
      </c>
      <c r="H138" s="64">
        <v>0.10100000000000001</v>
      </c>
      <c r="I138" s="363" t="s">
        <v>270</v>
      </c>
      <c r="J138" s="355">
        <f>H138-L138</f>
        <v>3.2000000000000001E-2</v>
      </c>
      <c r="K138" s="363" t="s">
        <v>271</v>
      </c>
      <c r="L138" s="64">
        <v>6.9000000000000006E-2</v>
      </c>
      <c r="M138" s="363" t="s">
        <v>58</v>
      </c>
      <c r="N138" s="65">
        <v>49</v>
      </c>
      <c r="O138" s="363" t="s">
        <v>60</v>
      </c>
      <c r="P138" s="65">
        <v>49</v>
      </c>
      <c r="Q138" s="363" t="s">
        <v>61</v>
      </c>
      <c r="R138" s="65">
        <v>98</v>
      </c>
      <c r="S138" s="363" t="s">
        <v>62</v>
      </c>
      <c r="T138" s="65">
        <v>29</v>
      </c>
      <c r="U138" s="363" t="s">
        <v>55</v>
      </c>
      <c r="V138" s="66" t="s">
        <v>400</v>
      </c>
      <c r="W138" s="463" t="s">
        <v>394</v>
      </c>
      <c r="X138" s="465">
        <v>1.8</v>
      </c>
      <c r="Y138" s="463" t="s">
        <v>393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117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383</v>
      </c>
      <c r="B143" s="359">
        <f>ROW(A143)</f>
        <v>143</v>
      </c>
      <c r="C143" s="363" t="s">
        <v>116</v>
      </c>
      <c r="D143" s="353">
        <f>SUM(B146:Y146)</f>
        <v>54.110016122119539</v>
      </c>
      <c r="E143" s="363" t="s">
        <v>115</v>
      </c>
      <c r="F143" s="354">
        <f>D143/g/J143</f>
        <v>146.69685764124625</v>
      </c>
      <c r="G143" s="363" t="s">
        <v>57</v>
      </c>
      <c r="H143" s="64">
        <v>0.10580000000000001</v>
      </c>
      <c r="I143" s="363" t="s">
        <v>270</v>
      </c>
      <c r="J143" s="355">
        <f>H143-L143</f>
        <v>3.7600000000000008E-2</v>
      </c>
      <c r="K143" s="363" t="s">
        <v>271</v>
      </c>
      <c r="L143" s="64">
        <v>6.8199999999999997E-2</v>
      </c>
      <c r="M143" s="363" t="s">
        <v>58</v>
      </c>
      <c r="N143" s="65">
        <v>49</v>
      </c>
      <c r="O143" s="363" t="s">
        <v>60</v>
      </c>
      <c r="P143" s="65">
        <v>49</v>
      </c>
      <c r="Q143" s="363" t="s">
        <v>61</v>
      </c>
      <c r="R143" s="65">
        <v>98</v>
      </c>
      <c r="S143" s="363" t="s">
        <v>62</v>
      </c>
      <c r="T143" s="65">
        <v>29</v>
      </c>
      <c r="U143" s="363" t="s">
        <v>55</v>
      </c>
      <c r="V143" s="66" t="s">
        <v>399</v>
      </c>
      <c r="W143" s="463" t="s">
        <v>394</v>
      </c>
      <c r="X143" s="465">
        <v>1.9</v>
      </c>
      <c r="Y143" s="463" t="s">
        <v>393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117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545</v>
      </c>
      <c r="B148" s="359">
        <f>ROW(A148)</f>
        <v>148</v>
      </c>
      <c r="C148" s="363" t="s">
        <v>116</v>
      </c>
      <c r="D148" s="353">
        <f>SUM(B151:Y151)</f>
        <v>55.589492</v>
      </c>
      <c r="E148" s="363" t="s">
        <v>115</v>
      </c>
      <c r="F148" s="354">
        <f>D148/g/J148</f>
        <v>177.08171508664634</v>
      </c>
      <c r="G148" s="363" t="s">
        <v>57</v>
      </c>
      <c r="H148" s="64">
        <v>0.10199999999999999</v>
      </c>
      <c r="I148" s="363" t="s">
        <v>270</v>
      </c>
      <c r="J148" s="355">
        <f>H148-L148</f>
        <v>3.1999999999999987E-2</v>
      </c>
      <c r="K148" s="363" t="s">
        <v>271</v>
      </c>
      <c r="L148" s="64">
        <v>7.0000000000000007E-2</v>
      </c>
      <c r="M148" s="363" t="s">
        <v>58</v>
      </c>
      <c r="N148" s="65">
        <v>49</v>
      </c>
      <c r="O148" s="363" t="s">
        <v>60</v>
      </c>
      <c r="P148" s="65">
        <v>49</v>
      </c>
      <c r="Q148" s="363" t="s">
        <v>61</v>
      </c>
      <c r="R148" s="65">
        <v>98</v>
      </c>
      <c r="S148" s="363" t="s">
        <v>62</v>
      </c>
      <c r="T148" s="65">
        <v>29</v>
      </c>
      <c r="U148" s="363" t="s">
        <v>55</v>
      </c>
      <c r="V148" s="66" t="s">
        <v>400</v>
      </c>
      <c r="W148" s="463" t="s">
        <v>394</v>
      </c>
      <c r="X148" s="465">
        <v>0.45</v>
      </c>
      <c r="Y148" s="463" t="s">
        <v>393</v>
      </c>
      <c r="Z148" s="358">
        <v>12</v>
      </c>
    </row>
    <row r="149" spans="1:26" x14ac:dyDescent="0.2">
      <c r="A149" s="362" t="s">
        <v>33</v>
      </c>
      <c r="B149" s="370">
        <v>0</v>
      </c>
      <c r="C149" s="371">
        <v>1E-3</v>
      </c>
      <c r="D149" s="371">
        <v>2.3E-2</v>
      </c>
      <c r="E149" s="371">
        <v>0.05</v>
      </c>
      <c r="F149" s="371">
        <v>5.8999999999999997E-2</v>
      </c>
      <c r="G149" s="371">
        <v>9.5000000000000001E-2</v>
      </c>
      <c r="H149" s="371">
        <v>0.21199999999999999</v>
      </c>
      <c r="I149" s="371">
        <v>0.34399999999999997</v>
      </c>
      <c r="J149" s="371">
        <v>1.5669999999999999</v>
      </c>
      <c r="K149" s="371">
        <v>1.631</v>
      </c>
      <c r="L149" s="371">
        <v>1.663</v>
      </c>
      <c r="M149" s="371">
        <v>1.7849999999999999</v>
      </c>
      <c r="N149" s="371">
        <v>1.8280000000000001</v>
      </c>
      <c r="O149" s="371">
        <v>2</v>
      </c>
      <c r="P149" s="371">
        <v>2</v>
      </c>
      <c r="Q149" s="371">
        <v>2</v>
      </c>
      <c r="R149" s="371">
        <v>2</v>
      </c>
      <c r="S149" s="371">
        <v>2</v>
      </c>
      <c r="T149" s="371">
        <v>2</v>
      </c>
      <c r="U149" s="371">
        <v>2</v>
      </c>
      <c r="V149" s="371">
        <v>2</v>
      </c>
      <c r="W149" s="371">
        <v>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3.4830000000000001</v>
      </c>
      <c r="D150" s="373">
        <v>64.052999999999997</v>
      </c>
      <c r="E150" s="373">
        <v>31.347000000000001</v>
      </c>
      <c r="F150" s="373">
        <v>28.459</v>
      </c>
      <c r="G150" s="373">
        <v>32.027000000000001</v>
      </c>
      <c r="H150" s="373">
        <v>36.189</v>
      </c>
      <c r="I150" s="373">
        <v>37.548999999999999</v>
      </c>
      <c r="J150" s="373">
        <v>26.164999999999999</v>
      </c>
      <c r="K150" s="373">
        <v>26.93</v>
      </c>
      <c r="L150" s="373">
        <v>25.315999999999999</v>
      </c>
      <c r="M150" s="373">
        <v>3.653</v>
      </c>
      <c r="N150" s="373">
        <v>0</v>
      </c>
      <c r="O150" s="373">
        <v>0</v>
      </c>
      <c r="P150" s="373">
        <v>0</v>
      </c>
      <c r="Q150" s="373">
        <v>0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117</v>
      </c>
      <c r="B151" s="374">
        <f t="shared" ref="B151" si="33">(C150+B150)*(C149-B149)/2</f>
        <v>1.7415E-3</v>
      </c>
      <c r="C151" s="375">
        <f t="shared" ref="C151" si="34">(D150+C150)*(D149-C149)/2</f>
        <v>0.742896</v>
      </c>
      <c r="D151" s="375">
        <f t="shared" ref="D151" si="35">(E150+D150)*(E149-D149)/2</f>
        <v>1.2879000000000003</v>
      </c>
      <c r="E151" s="375">
        <f t="shared" ref="E151" si="36">(F150+E150)*(F149-E149)/2</f>
        <v>0.26912699999999984</v>
      </c>
      <c r="F151" s="375">
        <f t="shared" ref="F151" si="37">(G150+F150)*(G149-F149)/2</f>
        <v>1.0887480000000003</v>
      </c>
      <c r="G151" s="375">
        <f t="shared" ref="G151" si="38">(H150+G150)*(H149-G149)/2</f>
        <v>3.9906360000000003</v>
      </c>
      <c r="H151" s="375">
        <f t="shared" ref="H151" si="39">(I150+H150)*(I149-H149)/2</f>
        <v>4.8667079999999991</v>
      </c>
      <c r="I151" s="375">
        <f t="shared" ref="I151" si="40">(J150+I150)*(J149-I149)/2</f>
        <v>38.961110999999995</v>
      </c>
      <c r="J151" s="375">
        <f t="shared" ref="J151" si="41">(K150+J150)*(K149-J149)/2</f>
        <v>1.6990400000000014</v>
      </c>
      <c r="K151" s="375">
        <f t="shared" ref="K151" si="42">(L150+K150)*(L149-K149)/2</f>
        <v>0.83593600000000068</v>
      </c>
      <c r="L151" s="375">
        <f t="shared" ref="L151" si="43">(M150+L150)*(M149-L149)/2</f>
        <v>1.7671089999999983</v>
      </c>
      <c r="M151" s="375">
        <f t="shared" ref="M151" si="44">(N150+M150)*(N149-M149)/2</f>
        <v>7.8539500000000276E-2</v>
      </c>
      <c r="N151" s="375">
        <f t="shared" ref="N151" si="45">(O150+N150)*(O149-N149)/2</f>
        <v>0</v>
      </c>
      <c r="O151" s="375">
        <f t="shared" ref="O151" si="46">(P150+O150)*(P149-O149)/2</f>
        <v>0</v>
      </c>
      <c r="P151" s="375">
        <f t="shared" ref="P151" si="47">(Q150+P150)*(Q149-P149)/2</f>
        <v>0</v>
      </c>
      <c r="Q151" s="375">
        <f t="shared" ref="Q151" si="48">(R150+Q150)*(R149-Q149)/2</f>
        <v>0</v>
      </c>
      <c r="R151" s="375">
        <f t="shared" ref="R151" si="49">(S150+R150)*(S149-R149)/2</f>
        <v>0</v>
      </c>
      <c r="S151" s="375">
        <f t="shared" ref="S151" si="50">(T150+S150)*(T149-S149)/2</f>
        <v>0</v>
      </c>
      <c r="T151" s="375">
        <f t="shared" ref="T151" si="51">(U150+T150)*(U149-T149)/2</f>
        <v>0</v>
      </c>
      <c r="U151" s="375">
        <f t="shared" ref="U151" si="52">(V150+U150)*(V149-U149)/2</f>
        <v>0</v>
      </c>
      <c r="V151" s="375">
        <f t="shared" ref="V151" si="53">(W150+V150)*(W149-V149)/2</f>
        <v>0</v>
      </c>
      <c r="W151" s="375">
        <f t="shared" ref="W151" si="54">(X150+W150)*(X149-W149)/2</f>
        <v>0</v>
      </c>
      <c r="X151" s="375">
        <f t="shared" ref="X151" si="55">(Y150+X150)*(Y149-X149)/2</f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384</v>
      </c>
      <c r="B153" s="359">
        <f>ROW(A153)</f>
        <v>153</v>
      </c>
      <c r="C153" s="363" t="s">
        <v>116</v>
      </c>
      <c r="D153" s="353">
        <f>SUM(B156:Y156)</f>
        <v>55.705884500000003</v>
      </c>
      <c r="E153" s="363" t="s">
        <v>115</v>
      </c>
      <c r="F153" s="354">
        <f>D153/g/J153</f>
        <v>180.84329814241278</v>
      </c>
      <c r="G153" s="363" t="s">
        <v>57</v>
      </c>
      <c r="H153" s="64">
        <v>0.1062</v>
      </c>
      <c r="I153" s="363" t="s">
        <v>270</v>
      </c>
      <c r="J153" s="355">
        <f>H153-L153</f>
        <v>3.1400000000000011E-2</v>
      </c>
      <c r="K153" s="363" t="s">
        <v>271</v>
      </c>
      <c r="L153" s="64">
        <v>7.4799999999999991E-2</v>
      </c>
      <c r="M153" s="363" t="s">
        <v>58</v>
      </c>
      <c r="N153" s="65">
        <v>49</v>
      </c>
      <c r="O153" s="363" t="s">
        <v>60</v>
      </c>
      <c r="P153" s="65">
        <v>49</v>
      </c>
      <c r="Q153" s="363" t="s">
        <v>61</v>
      </c>
      <c r="R153" s="65">
        <v>98</v>
      </c>
      <c r="S153" s="363" t="s">
        <v>62</v>
      </c>
      <c r="T153" s="65">
        <v>29</v>
      </c>
      <c r="U153" s="363" t="s">
        <v>55</v>
      </c>
      <c r="V153" s="66" t="s">
        <v>400</v>
      </c>
      <c r="W153" s="463" t="s">
        <v>394</v>
      </c>
      <c r="X153" s="465">
        <v>0.45</v>
      </c>
      <c r="Y153" s="463" t="s">
        <v>393</v>
      </c>
      <c r="Z153" s="358">
        <v>14</v>
      </c>
    </row>
    <row r="154" spans="1:26" x14ac:dyDescent="0.2">
      <c r="A154" s="362" t="s">
        <v>33</v>
      </c>
      <c r="B154" s="370">
        <v>0</v>
      </c>
      <c r="C154" s="371">
        <v>1.2999999999999999E-2</v>
      </c>
      <c r="D154" s="371">
        <v>1.7000000000000001E-2</v>
      </c>
      <c r="E154" s="371">
        <v>0.04</v>
      </c>
      <c r="F154" s="371">
        <v>0.125</v>
      </c>
      <c r="G154" s="371">
        <v>0.17899999999999999</v>
      </c>
      <c r="H154" s="371">
        <v>0.222</v>
      </c>
      <c r="I154" s="371">
        <v>0.28899999999999998</v>
      </c>
      <c r="J154" s="371">
        <v>0.35399999999999998</v>
      </c>
      <c r="K154" s="371">
        <v>0.39400000000000002</v>
      </c>
      <c r="L154" s="371">
        <v>0.40600000000000003</v>
      </c>
      <c r="M154" s="371">
        <v>0.41599999999999998</v>
      </c>
      <c r="N154" s="371">
        <v>0.42299999999999999</v>
      </c>
      <c r="O154" s="371">
        <v>0.43099999999999999</v>
      </c>
      <c r="P154" s="371">
        <v>0.44700000000000001</v>
      </c>
      <c r="Q154" s="371">
        <v>0.45300000000000001</v>
      </c>
      <c r="R154" s="371">
        <v>0.45500000000000002</v>
      </c>
      <c r="S154" s="371">
        <v>0.45500000000000002</v>
      </c>
      <c r="T154" s="371">
        <v>0.45500000000000002</v>
      </c>
      <c r="U154" s="371">
        <v>0.45500000000000002</v>
      </c>
      <c r="V154" s="371">
        <v>0.45500000000000002</v>
      </c>
      <c r="W154" s="371">
        <v>0.45500000000000002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79.242000000000004</v>
      </c>
      <c r="D155" s="373">
        <v>90.427000000000007</v>
      </c>
      <c r="E155" s="373">
        <v>101.422</v>
      </c>
      <c r="F155" s="373">
        <v>127.583</v>
      </c>
      <c r="G155" s="373">
        <v>136.114</v>
      </c>
      <c r="H155" s="373">
        <v>139.905</v>
      </c>
      <c r="I155" s="373">
        <v>143.50700000000001</v>
      </c>
      <c r="J155" s="373">
        <v>138.578</v>
      </c>
      <c r="K155" s="373">
        <v>125.498</v>
      </c>
      <c r="L155" s="373">
        <v>123.602</v>
      </c>
      <c r="M155" s="373">
        <v>125.11799999999999</v>
      </c>
      <c r="N155" s="373">
        <v>130.047</v>
      </c>
      <c r="O155" s="373">
        <v>120.569</v>
      </c>
      <c r="P155" s="373">
        <v>25.591999999999999</v>
      </c>
      <c r="Q155" s="373">
        <v>8.7200000000000006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117</v>
      </c>
      <c r="B156" s="374">
        <f t="shared" ref="B156:X156" si="56">(C155+B155)*(C154-B154)/2</f>
        <v>0.515073</v>
      </c>
      <c r="C156" s="375">
        <f t="shared" si="56"/>
        <v>0.3393380000000002</v>
      </c>
      <c r="D156" s="375">
        <f t="shared" si="56"/>
        <v>2.2062634999999999</v>
      </c>
      <c r="E156" s="375">
        <f t="shared" si="56"/>
        <v>9.7327124999999981</v>
      </c>
      <c r="F156" s="375">
        <f t="shared" si="56"/>
        <v>7.1198189999999988</v>
      </c>
      <c r="G156" s="375">
        <f t="shared" si="56"/>
        <v>5.9344085000000018</v>
      </c>
      <c r="H156" s="375">
        <f t="shared" si="56"/>
        <v>9.4943019999999976</v>
      </c>
      <c r="I156" s="375">
        <f t="shared" si="56"/>
        <v>9.167762500000002</v>
      </c>
      <c r="J156" s="375">
        <f t="shared" si="56"/>
        <v>5.2815200000000049</v>
      </c>
      <c r="K156" s="375">
        <f t="shared" si="56"/>
        <v>1.4946000000000015</v>
      </c>
      <c r="L156" s="375">
        <f t="shared" si="56"/>
        <v>1.2435999999999943</v>
      </c>
      <c r="M156" s="375">
        <f t="shared" si="56"/>
        <v>0.89307750000000075</v>
      </c>
      <c r="N156" s="375">
        <f t="shared" si="56"/>
        <v>1.0024640000000009</v>
      </c>
      <c r="O156" s="375">
        <f t="shared" si="56"/>
        <v>1.169288000000001</v>
      </c>
      <c r="P156" s="375">
        <f t="shared" si="56"/>
        <v>0.10293600000000008</v>
      </c>
      <c r="Q156" s="375">
        <f t="shared" si="56"/>
        <v>8.720000000000009E-3</v>
      </c>
      <c r="R156" s="375">
        <f t="shared" si="56"/>
        <v>0</v>
      </c>
      <c r="S156" s="375">
        <f t="shared" si="56"/>
        <v>0</v>
      </c>
      <c r="T156" s="375">
        <f t="shared" si="56"/>
        <v>0</v>
      </c>
      <c r="U156" s="375">
        <f t="shared" si="56"/>
        <v>0</v>
      </c>
      <c r="V156" s="375">
        <f t="shared" si="56"/>
        <v>0</v>
      </c>
      <c r="W156" s="375">
        <f t="shared" si="56"/>
        <v>0</v>
      </c>
      <c r="X156" s="375">
        <f t="shared" si="56"/>
        <v>0</v>
      </c>
      <c r="Y156" s="369"/>
    </row>
    <row r="157" spans="1:26" ht="13.5" thickBo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385</v>
      </c>
      <c r="B158" s="359">
        <f>ROW(A158)</f>
        <v>158</v>
      </c>
      <c r="C158" s="363" t="s">
        <v>116</v>
      </c>
      <c r="D158" s="353">
        <f>SUM(B161:Y161)</f>
        <v>57.190000000000005</v>
      </c>
      <c r="E158" s="363" t="s">
        <v>115</v>
      </c>
      <c r="F158" s="354">
        <f>D158/g/J158</f>
        <v>188.05695307618953</v>
      </c>
      <c r="G158" s="363" t="s">
        <v>57</v>
      </c>
      <c r="H158" s="64">
        <v>9.9000000000000005E-2</v>
      </c>
      <c r="I158" s="363" t="s">
        <v>270</v>
      </c>
      <c r="J158" s="355">
        <f>H158-L158</f>
        <v>3.1E-2</v>
      </c>
      <c r="K158" s="363" t="s">
        <v>271</v>
      </c>
      <c r="L158" s="64">
        <v>6.8000000000000005E-2</v>
      </c>
      <c r="M158" s="363" t="s">
        <v>58</v>
      </c>
      <c r="N158" s="65">
        <v>49</v>
      </c>
      <c r="O158" s="363" t="s">
        <v>60</v>
      </c>
      <c r="P158" s="65">
        <v>49</v>
      </c>
      <c r="Q158" s="363" t="s">
        <v>61</v>
      </c>
      <c r="R158" s="65">
        <v>98</v>
      </c>
      <c r="S158" s="363" t="s">
        <v>62</v>
      </c>
      <c r="T158" s="65">
        <v>29</v>
      </c>
      <c r="U158" s="363" t="s">
        <v>55</v>
      </c>
      <c r="V158" s="66" t="s">
        <v>400</v>
      </c>
      <c r="W158" s="463" t="s">
        <v>394</v>
      </c>
      <c r="X158" s="465">
        <v>0.96</v>
      </c>
      <c r="Y158" s="463" t="s">
        <v>393</v>
      </c>
      <c r="Z158" s="358">
        <v>12</v>
      </c>
    </row>
    <row r="159" spans="1:26" x14ac:dyDescent="0.2">
      <c r="A159" s="362" t="s">
        <v>33</v>
      </c>
      <c r="B159" s="370">
        <v>0</v>
      </c>
      <c r="C159" s="371">
        <v>0.01</v>
      </c>
      <c r="D159" s="371">
        <v>0.02</v>
      </c>
      <c r="E159" s="371">
        <v>0.03</v>
      </c>
      <c r="F159" s="371">
        <v>0.04</v>
      </c>
      <c r="G159" s="371">
        <v>7.0000000000000007E-2</v>
      </c>
      <c r="H159" s="371">
        <v>0.1</v>
      </c>
      <c r="I159" s="371">
        <v>0.2</v>
      </c>
      <c r="J159" s="371">
        <v>0.3</v>
      </c>
      <c r="K159" s="371">
        <v>0.4</v>
      </c>
      <c r="L159" s="371">
        <v>0.5</v>
      </c>
      <c r="M159" s="371">
        <v>0.6</v>
      </c>
      <c r="N159" s="371">
        <v>0.7</v>
      </c>
      <c r="O159" s="371">
        <v>0.87</v>
      </c>
      <c r="P159" s="371">
        <v>0.9</v>
      </c>
      <c r="Q159" s="371">
        <v>0.97</v>
      </c>
      <c r="R159" s="371">
        <v>0.97</v>
      </c>
      <c r="S159" s="371">
        <v>0.97</v>
      </c>
      <c r="T159" s="371">
        <v>0.97</v>
      </c>
      <c r="U159" s="371">
        <v>0.97</v>
      </c>
      <c r="V159" s="371">
        <v>0.97</v>
      </c>
      <c r="W159" s="371">
        <v>0.97</v>
      </c>
      <c r="X159" s="371"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16</v>
      </c>
      <c r="D160" s="373">
        <v>62</v>
      </c>
      <c r="E160" s="373">
        <v>67</v>
      </c>
      <c r="F160" s="373">
        <v>71</v>
      </c>
      <c r="G160" s="373">
        <v>58</v>
      </c>
      <c r="H160" s="373">
        <v>63</v>
      </c>
      <c r="I160" s="373">
        <v>67</v>
      </c>
      <c r="J160" s="373">
        <v>69</v>
      </c>
      <c r="K160" s="373">
        <v>67</v>
      </c>
      <c r="L160" s="373">
        <v>65</v>
      </c>
      <c r="M160" s="373">
        <v>63</v>
      </c>
      <c r="N160" s="373">
        <v>61</v>
      </c>
      <c r="O160" s="373">
        <v>60</v>
      </c>
      <c r="P160" s="373">
        <v>23</v>
      </c>
      <c r="Q160" s="373">
        <v>0</v>
      </c>
      <c r="R160" s="373">
        <v>0</v>
      </c>
      <c r="S160" s="373">
        <v>0</v>
      </c>
      <c r="T160" s="373">
        <v>0</v>
      </c>
      <c r="U160" s="373">
        <v>0</v>
      </c>
      <c r="V160" s="373">
        <v>0</v>
      </c>
      <c r="W160" s="373">
        <v>0</v>
      </c>
      <c r="X160" s="373">
        <v>0</v>
      </c>
      <c r="Y160" s="382">
        <v>0</v>
      </c>
    </row>
    <row r="161" spans="1:26" ht="13.5" thickBot="1" x14ac:dyDescent="0.25">
      <c r="A161" s="379" t="s">
        <v>117</v>
      </c>
      <c r="B161" s="374">
        <f t="shared" ref="B161:X161" si="57">(C160+B160)*(C159-B159)/2</f>
        <v>0.08</v>
      </c>
      <c r="C161" s="375">
        <f t="shared" si="57"/>
        <v>0.39</v>
      </c>
      <c r="D161" s="375">
        <f t="shared" si="57"/>
        <v>0.64499999999999991</v>
      </c>
      <c r="E161" s="375">
        <f t="shared" si="57"/>
        <v>0.69000000000000017</v>
      </c>
      <c r="F161" s="375">
        <f t="shared" si="57"/>
        <v>1.9350000000000003</v>
      </c>
      <c r="G161" s="375">
        <f t="shared" si="57"/>
        <v>1.8149999999999999</v>
      </c>
      <c r="H161" s="375">
        <f t="shared" si="57"/>
        <v>6.5</v>
      </c>
      <c r="I161" s="375">
        <f t="shared" si="57"/>
        <v>6.7999999999999989</v>
      </c>
      <c r="J161" s="375">
        <f t="shared" si="57"/>
        <v>6.8000000000000025</v>
      </c>
      <c r="K161" s="375">
        <f t="shared" si="57"/>
        <v>6.5999999999999988</v>
      </c>
      <c r="L161" s="375">
        <f t="shared" si="57"/>
        <v>6.3999999999999986</v>
      </c>
      <c r="M161" s="375">
        <f t="shared" si="57"/>
        <v>6.1999999999999984</v>
      </c>
      <c r="N161" s="375">
        <f t="shared" si="57"/>
        <v>10.285000000000002</v>
      </c>
      <c r="O161" s="375">
        <f t="shared" si="57"/>
        <v>1.245000000000001</v>
      </c>
      <c r="P161" s="375">
        <f t="shared" si="57"/>
        <v>0.80499999999999949</v>
      </c>
      <c r="Q161" s="375">
        <f t="shared" si="57"/>
        <v>0</v>
      </c>
      <c r="R161" s="375">
        <f t="shared" si="57"/>
        <v>0</v>
      </c>
      <c r="S161" s="375">
        <f t="shared" si="57"/>
        <v>0</v>
      </c>
      <c r="T161" s="375">
        <f t="shared" si="57"/>
        <v>0</v>
      </c>
      <c r="U161" s="375">
        <f t="shared" si="57"/>
        <v>0</v>
      </c>
      <c r="V161" s="375">
        <f t="shared" si="57"/>
        <v>0</v>
      </c>
      <c r="W161" s="375">
        <f t="shared" si="57"/>
        <v>0</v>
      </c>
      <c r="X161" s="375">
        <f t="shared" si="57"/>
        <v>0</v>
      </c>
      <c r="Y161" s="369"/>
    </row>
    <row r="162" spans="1:26" ht="13.5" thickBot="1" x14ac:dyDescent="0.25">
      <c r="A162" s="6" t="s">
        <v>314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6" ht="13.5" thickBot="1" x14ac:dyDescent="0.25">
      <c r="A163" s="361" t="s">
        <v>321</v>
      </c>
      <c r="B163" s="359">
        <f>ROW(A163)</f>
        <v>163</v>
      </c>
      <c r="C163" s="363" t="s">
        <v>116</v>
      </c>
      <c r="D163" s="353">
        <f>SUM(B166:Y166)</f>
        <v>59.702267000000006</v>
      </c>
      <c r="E163" s="363" t="s">
        <v>115</v>
      </c>
      <c r="F163" s="354">
        <f>D163/g/J163</f>
        <v>190.77924771281306</v>
      </c>
      <c r="G163" s="363" t="s">
        <v>57</v>
      </c>
      <c r="H163" s="64">
        <v>9.3899999999999997E-2</v>
      </c>
      <c r="I163" s="363" t="s">
        <v>270</v>
      </c>
      <c r="J163" s="355">
        <f>H163-L163</f>
        <v>3.1899999999999998E-2</v>
      </c>
      <c r="K163" s="363" t="s">
        <v>271</v>
      </c>
      <c r="L163" s="64">
        <f>0.095-0.033</f>
        <v>6.2E-2</v>
      </c>
      <c r="M163" s="363" t="s">
        <v>58</v>
      </c>
      <c r="N163" s="396">
        <v>66.5</v>
      </c>
      <c r="O163" s="363" t="s">
        <v>60</v>
      </c>
      <c r="P163" s="396">
        <v>66.5</v>
      </c>
      <c r="Q163" s="363" t="s">
        <v>61</v>
      </c>
      <c r="R163" s="65">
        <v>133</v>
      </c>
      <c r="S163" s="363" t="s">
        <v>62</v>
      </c>
      <c r="T163" s="65">
        <v>24</v>
      </c>
      <c r="U163" s="363" t="s">
        <v>55</v>
      </c>
      <c r="V163" s="66" t="s">
        <v>399</v>
      </c>
      <c r="W163" s="463" t="s">
        <v>394</v>
      </c>
      <c r="X163" s="465">
        <v>1.2</v>
      </c>
      <c r="Y163" s="463" t="s">
        <v>393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1.4999999999999999E-2</v>
      </c>
      <c r="D164" s="371">
        <v>2.1999999999999999E-2</v>
      </c>
      <c r="E164" s="371">
        <v>6.4000000000000001E-2</v>
      </c>
      <c r="F164" s="371">
        <v>0.11799999999999999</v>
      </c>
      <c r="G164" s="371">
        <v>0.34200000000000003</v>
      </c>
      <c r="H164" s="371">
        <v>0.53600000000000003</v>
      </c>
      <c r="I164" s="371">
        <v>0.74299999999999999</v>
      </c>
      <c r="J164" s="371">
        <v>0.88400000000000001</v>
      </c>
      <c r="K164" s="371">
        <v>0.97599999999999998</v>
      </c>
      <c r="L164" s="371">
        <v>1.0960000000000001</v>
      </c>
      <c r="M164" s="371">
        <v>1.246</v>
      </c>
      <c r="N164" s="371">
        <v>1.298</v>
      </c>
      <c r="O164" s="371">
        <v>2</v>
      </c>
      <c r="P164" s="371">
        <v>2</v>
      </c>
      <c r="Q164" s="371">
        <v>2</v>
      </c>
      <c r="R164" s="371">
        <v>2</v>
      </c>
      <c r="S164" s="371">
        <v>2</v>
      </c>
      <c r="T164" s="371">
        <v>2</v>
      </c>
      <c r="U164" s="371">
        <v>2</v>
      </c>
      <c r="V164" s="371">
        <v>2</v>
      </c>
      <c r="W164" s="371">
        <v>2</v>
      </c>
      <c r="X164" s="371">
        <f t="shared" ref="T164:X165" si="58">W164</f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64.981999999999999</v>
      </c>
      <c r="D165" s="373">
        <v>69.516000000000005</v>
      </c>
      <c r="E165" s="373">
        <v>55.536999999999999</v>
      </c>
      <c r="F165" s="373">
        <v>62.81</v>
      </c>
      <c r="G165" s="373">
        <v>62.149000000000001</v>
      </c>
      <c r="H165" s="373">
        <v>59.41</v>
      </c>
      <c r="I165" s="373">
        <v>53.837000000000003</v>
      </c>
      <c r="J165" s="373">
        <v>46.942</v>
      </c>
      <c r="K165" s="373">
        <v>40.046999999999997</v>
      </c>
      <c r="L165" s="373">
        <v>12.561999999999999</v>
      </c>
      <c r="M165" s="373">
        <v>2.0779999999999998</v>
      </c>
      <c r="N165" s="373">
        <v>0</v>
      </c>
      <c r="O165" s="373">
        <v>0</v>
      </c>
      <c r="P165" s="373">
        <v>0</v>
      </c>
      <c r="Q165" s="373">
        <v>0</v>
      </c>
      <c r="R165" s="373">
        <v>0</v>
      </c>
      <c r="S165" s="373">
        <v>0</v>
      </c>
      <c r="T165" s="373">
        <f t="shared" si="58"/>
        <v>0</v>
      </c>
      <c r="U165" s="373">
        <f t="shared" si="58"/>
        <v>0</v>
      </c>
      <c r="V165" s="373">
        <f t="shared" si="58"/>
        <v>0</v>
      </c>
      <c r="W165" s="373">
        <f t="shared" si="58"/>
        <v>0</v>
      </c>
      <c r="X165" s="373">
        <f t="shared" si="58"/>
        <v>0</v>
      </c>
      <c r="Y165" s="382">
        <v>0</v>
      </c>
    </row>
    <row r="166" spans="1:26" ht="13.5" thickBot="1" x14ac:dyDescent="0.25">
      <c r="A166" s="379" t="s">
        <v>117</v>
      </c>
      <c r="B166" s="374">
        <f t="shared" ref="B166:V166" si="59">(C165+B165)*(C164-B164)/2</f>
        <v>0.48736499999999999</v>
      </c>
      <c r="C166" s="375">
        <f t="shared" si="59"/>
        <v>0.47074299999999991</v>
      </c>
      <c r="D166" s="375">
        <f t="shared" si="59"/>
        <v>2.6261130000000001</v>
      </c>
      <c r="E166" s="375">
        <f t="shared" si="59"/>
        <v>3.1953689999999999</v>
      </c>
      <c r="F166" s="375">
        <f t="shared" si="59"/>
        <v>13.995408000000003</v>
      </c>
      <c r="G166" s="375">
        <f t="shared" si="59"/>
        <v>11.791223</v>
      </c>
      <c r="H166" s="375">
        <f t="shared" si="59"/>
        <v>11.721064499999997</v>
      </c>
      <c r="I166" s="375">
        <f t="shared" si="59"/>
        <v>7.1049195000000003</v>
      </c>
      <c r="J166" s="375">
        <f>(K165+J165)*(K164-J164)/2</f>
        <v>4.0014939999999992</v>
      </c>
      <c r="K166" s="375">
        <f t="shared" si="59"/>
        <v>3.1565400000000023</v>
      </c>
      <c r="L166" s="375">
        <f t="shared" si="59"/>
        <v>1.0979999999999992</v>
      </c>
      <c r="M166" s="375">
        <f t="shared" si="59"/>
        <v>5.4028000000000041E-2</v>
      </c>
      <c r="N166" s="375">
        <f t="shared" si="59"/>
        <v>0</v>
      </c>
      <c r="O166" s="375">
        <f t="shared" si="59"/>
        <v>0</v>
      </c>
      <c r="P166" s="375">
        <f t="shared" si="59"/>
        <v>0</v>
      </c>
      <c r="Q166" s="375">
        <f t="shared" si="59"/>
        <v>0</v>
      </c>
      <c r="R166" s="375">
        <f t="shared" si="59"/>
        <v>0</v>
      </c>
      <c r="S166" s="375">
        <f>(T165+S165)*(T164-S164)/2</f>
        <v>0</v>
      </c>
      <c r="T166" s="375">
        <f t="shared" si="59"/>
        <v>0</v>
      </c>
      <c r="U166" s="375">
        <f t="shared" si="59"/>
        <v>0</v>
      </c>
      <c r="V166" s="375">
        <f t="shared" si="59"/>
        <v>0</v>
      </c>
      <c r="W166" s="375">
        <f>(X165+W165)*(X164-W164)/2</f>
        <v>0</v>
      </c>
      <c r="X166" s="375">
        <f>(Y165+X165)*(Y164-X164)/2</f>
        <v>0</v>
      </c>
      <c r="Y166" s="369"/>
    </row>
    <row r="167" spans="1:26" ht="13.5" thickBot="1" x14ac:dyDescent="0.25"/>
    <row r="168" spans="1:26" ht="13.5" thickBot="1" x14ac:dyDescent="0.25">
      <c r="A168" s="361" t="s">
        <v>322</v>
      </c>
      <c r="B168" s="359">
        <f>ROW(A168)</f>
        <v>168</v>
      </c>
      <c r="C168" s="363" t="s">
        <v>116</v>
      </c>
      <c r="D168" s="353">
        <f>SUM(B171:Y171)</f>
        <v>68.380602999999994</v>
      </c>
      <c r="E168" s="363" t="s">
        <v>115</v>
      </c>
      <c r="F168" s="354">
        <f>D168/g/J168</f>
        <v>134.04807300243078</v>
      </c>
      <c r="G168" s="363" t="s">
        <v>57</v>
      </c>
      <c r="H168" s="64">
        <v>0.1075</v>
      </c>
      <c r="I168" s="363" t="s">
        <v>270</v>
      </c>
      <c r="J168" s="355">
        <f>H168-L168</f>
        <v>5.1999999999999998E-2</v>
      </c>
      <c r="K168" s="363" t="s">
        <v>271</v>
      </c>
      <c r="L168" s="64">
        <v>5.5500000000000001E-2</v>
      </c>
      <c r="M168" s="363" t="s">
        <v>58</v>
      </c>
      <c r="N168" s="396">
        <v>66.5</v>
      </c>
      <c r="O168" s="363" t="s">
        <v>60</v>
      </c>
      <c r="P168" s="396">
        <v>66.5</v>
      </c>
      <c r="Q168" s="363" t="s">
        <v>61</v>
      </c>
      <c r="R168" s="65">
        <v>133</v>
      </c>
      <c r="S168" s="363" t="s">
        <v>62</v>
      </c>
      <c r="T168" s="65">
        <v>24</v>
      </c>
      <c r="U168" s="363" t="s">
        <v>55</v>
      </c>
      <c r="V168" s="66" t="s">
        <v>399</v>
      </c>
      <c r="W168" s="463" t="s">
        <v>394</v>
      </c>
      <c r="X168" s="465">
        <v>0.86</v>
      </c>
      <c r="Y168" s="463" t="s">
        <v>393</v>
      </c>
      <c r="Z168" s="358">
        <v>13</v>
      </c>
    </row>
    <row r="169" spans="1:26" x14ac:dyDescent="0.2">
      <c r="A169" s="362" t="s">
        <v>33</v>
      </c>
      <c r="B169" s="370">
        <v>0</v>
      </c>
      <c r="C169" s="371">
        <v>5.0000000000000001E-3</v>
      </c>
      <c r="D169" s="371">
        <v>1.2999999999999999E-2</v>
      </c>
      <c r="E169" s="371">
        <v>2.1999999999999999E-2</v>
      </c>
      <c r="F169" s="371">
        <v>4.2999999999999997E-2</v>
      </c>
      <c r="G169" s="371">
        <v>0.11899999999999999</v>
      </c>
      <c r="H169" s="371">
        <v>0.19800000000000001</v>
      </c>
      <c r="I169" s="371">
        <v>0.26700000000000002</v>
      </c>
      <c r="J169" s="371">
        <v>0.34300000000000003</v>
      </c>
      <c r="K169" s="371">
        <v>0.40400000000000003</v>
      </c>
      <c r="L169" s="371">
        <v>0.498</v>
      </c>
      <c r="M169" s="371">
        <v>0.55500000000000005</v>
      </c>
      <c r="N169" s="371">
        <v>0.622</v>
      </c>
      <c r="O169" s="371">
        <v>0.66300000000000003</v>
      </c>
      <c r="P169" s="371">
        <v>0.70399999999999996</v>
      </c>
      <c r="Q169" s="371">
        <v>0.72899999999999998</v>
      </c>
      <c r="R169" s="371">
        <v>0.747</v>
      </c>
      <c r="S169" s="371">
        <v>0.76800000000000002</v>
      </c>
      <c r="T169" s="371">
        <v>0.82099999999999995</v>
      </c>
      <c r="U169" s="371">
        <v>0.85199999999999998</v>
      </c>
      <c r="V169" s="371">
        <v>0.89200000000000002</v>
      </c>
      <c r="W169" s="371">
        <v>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3">
        <v>60</v>
      </c>
      <c r="D170" s="373">
        <v>89.007000000000005</v>
      </c>
      <c r="E170" s="373">
        <v>96.290999999999997</v>
      </c>
      <c r="F170" s="373">
        <v>81.721999999999994</v>
      </c>
      <c r="G170" s="373">
        <v>85.563000000000002</v>
      </c>
      <c r="H170" s="373">
        <v>87.947000000000003</v>
      </c>
      <c r="I170" s="373">
        <v>89.272000000000006</v>
      </c>
      <c r="J170" s="373">
        <v>89.933999999999997</v>
      </c>
      <c r="K170" s="373">
        <v>90.861000000000004</v>
      </c>
      <c r="L170" s="373">
        <v>91.522999999999996</v>
      </c>
      <c r="M170" s="373">
        <v>89.668999999999997</v>
      </c>
      <c r="N170" s="373">
        <v>83.974000000000004</v>
      </c>
      <c r="O170" s="373">
        <v>80.53</v>
      </c>
      <c r="P170" s="373">
        <v>78.94</v>
      </c>
      <c r="Q170" s="373">
        <v>74.171999999999997</v>
      </c>
      <c r="R170" s="373">
        <v>66.887</v>
      </c>
      <c r="S170" s="373">
        <v>53.774999999999999</v>
      </c>
      <c r="T170" s="373">
        <v>18.542999999999999</v>
      </c>
      <c r="U170" s="373">
        <v>7.8150000000000004</v>
      </c>
      <c r="V170" s="373">
        <v>2.1190000000000002</v>
      </c>
      <c r="W170" s="373">
        <v>0</v>
      </c>
      <c r="X170" s="373">
        <v>0</v>
      </c>
      <c r="Y170" s="382">
        <v>0</v>
      </c>
    </row>
    <row r="171" spans="1:26" ht="13.5" thickBot="1" x14ac:dyDescent="0.25">
      <c r="A171" s="379" t="s">
        <v>117</v>
      </c>
      <c r="B171" s="374">
        <f t="shared" ref="B171:X171" si="60">(C170+B170)*(C169-B169)/2</f>
        <v>0.15</v>
      </c>
      <c r="C171" s="375">
        <f t="shared" si="60"/>
        <v>0.596028</v>
      </c>
      <c r="D171" s="375">
        <f t="shared" si="60"/>
        <v>0.83384099999999994</v>
      </c>
      <c r="E171" s="375">
        <f t="shared" si="60"/>
        <v>1.8691364999999995</v>
      </c>
      <c r="F171" s="375">
        <f t="shared" si="60"/>
        <v>6.3568299999999995</v>
      </c>
      <c r="G171" s="375">
        <f t="shared" si="60"/>
        <v>6.8536450000000011</v>
      </c>
      <c r="H171" s="375">
        <f t="shared" si="60"/>
        <v>6.1140555000000001</v>
      </c>
      <c r="I171" s="375">
        <f t="shared" si="60"/>
        <v>6.8098280000000013</v>
      </c>
      <c r="J171" s="375">
        <f t="shared" si="60"/>
        <v>5.5142475000000006</v>
      </c>
      <c r="K171" s="375">
        <f t="shared" si="60"/>
        <v>8.5720479999999988</v>
      </c>
      <c r="L171" s="375">
        <f t="shared" si="60"/>
        <v>5.1639720000000047</v>
      </c>
      <c r="M171" s="375">
        <f t="shared" si="60"/>
        <v>5.8170404999999956</v>
      </c>
      <c r="N171" s="375">
        <f t="shared" si="60"/>
        <v>3.3723320000000032</v>
      </c>
      <c r="O171" s="375">
        <f t="shared" si="60"/>
        <v>3.2691349999999941</v>
      </c>
      <c r="P171" s="375">
        <f t="shared" si="60"/>
        <v>1.9139000000000017</v>
      </c>
      <c r="Q171" s="375">
        <f t="shared" si="60"/>
        <v>1.2695310000000011</v>
      </c>
      <c r="R171" s="375">
        <f t="shared" si="60"/>
        <v>1.2669510000000013</v>
      </c>
      <c r="S171" s="375">
        <f t="shared" si="60"/>
        <v>1.9164269999999977</v>
      </c>
      <c r="T171" s="375">
        <f t="shared" si="60"/>
        <v>0.40854900000000038</v>
      </c>
      <c r="U171" s="375">
        <f t="shared" si="60"/>
        <v>0.19868000000000019</v>
      </c>
      <c r="V171" s="375">
        <f t="shared" si="60"/>
        <v>0.114426</v>
      </c>
      <c r="W171" s="375">
        <f t="shared" si="60"/>
        <v>0</v>
      </c>
      <c r="X171" s="375">
        <f t="shared" si="60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323</v>
      </c>
      <c r="B173" s="359">
        <f>ROW(A173)</f>
        <v>173</v>
      </c>
      <c r="C173" s="363" t="s">
        <v>116</v>
      </c>
      <c r="D173" s="353">
        <f>SUM(B176:Y176)</f>
        <v>67.985428500000012</v>
      </c>
      <c r="E173" s="363" t="s">
        <v>115</v>
      </c>
      <c r="F173" s="354">
        <f>D173/g/J173</f>
        <v>181.89545859519862</v>
      </c>
      <c r="G173" s="363" t="s">
        <v>57</v>
      </c>
      <c r="H173" s="64">
        <v>9.1799999999999993E-2</v>
      </c>
      <c r="I173" s="363" t="s">
        <v>270</v>
      </c>
      <c r="J173" s="355">
        <f>H173-L173</f>
        <v>3.8099999999999988E-2</v>
      </c>
      <c r="K173" s="363" t="s">
        <v>271</v>
      </c>
      <c r="L173" s="64">
        <v>5.3700000000000005E-2</v>
      </c>
      <c r="M173" s="363" t="s">
        <v>58</v>
      </c>
      <c r="N173" s="396">
        <v>66.5</v>
      </c>
      <c r="O173" s="363" t="s">
        <v>60</v>
      </c>
      <c r="P173" s="396">
        <v>66.5</v>
      </c>
      <c r="Q173" s="363" t="s">
        <v>61</v>
      </c>
      <c r="R173" s="65">
        <v>133</v>
      </c>
      <c r="S173" s="363" t="s">
        <v>62</v>
      </c>
      <c r="T173" s="65">
        <v>24</v>
      </c>
      <c r="U173" s="363" t="s">
        <v>55</v>
      </c>
      <c r="V173" s="66" t="s">
        <v>399</v>
      </c>
      <c r="W173" s="463" t="s">
        <v>394</v>
      </c>
      <c r="X173" s="465">
        <v>0.33</v>
      </c>
      <c r="Y173" s="463" t="s">
        <v>393</v>
      </c>
      <c r="Z173" s="358">
        <v>15</v>
      </c>
    </row>
    <row r="174" spans="1:26" x14ac:dyDescent="0.2">
      <c r="A174" s="362" t="s">
        <v>33</v>
      </c>
      <c r="B174" s="370">
        <v>0</v>
      </c>
      <c r="C174" s="371">
        <v>4.0000000000000001E-3</v>
      </c>
      <c r="D174" s="371">
        <v>7.0000000000000001E-3</v>
      </c>
      <c r="E174" s="371">
        <v>0.01</v>
      </c>
      <c r="F174" s="371">
        <v>2.1999999999999999E-2</v>
      </c>
      <c r="G174" s="371">
        <v>2.8000000000000001E-2</v>
      </c>
      <c r="H174" s="371">
        <v>4.1000000000000002E-2</v>
      </c>
      <c r="I174" s="371">
        <v>5.8000000000000003E-2</v>
      </c>
      <c r="J174" s="371">
        <v>7.6999999999999999E-2</v>
      </c>
      <c r="K174" s="371">
        <v>8.8999999999999996E-2</v>
      </c>
      <c r="L174" s="371">
        <v>9.7000000000000003E-2</v>
      </c>
      <c r="M174" s="371">
        <v>0.11899999999999999</v>
      </c>
      <c r="N174" s="371">
        <v>0.14699999999999999</v>
      </c>
      <c r="O174" s="371">
        <v>0.17699999999999999</v>
      </c>
      <c r="P174" s="371">
        <v>0.20699999999999999</v>
      </c>
      <c r="Q174" s="371">
        <v>0.253</v>
      </c>
      <c r="R174" s="371">
        <v>0.25900000000000001</v>
      </c>
      <c r="S174" s="371">
        <v>0.27200000000000002</v>
      </c>
      <c r="T174" s="371">
        <v>0.28000000000000003</v>
      </c>
      <c r="U174" s="371">
        <v>0.28599999999999998</v>
      </c>
      <c r="V174" s="371">
        <v>0.29399999999999998</v>
      </c>
      <c r="W174" s="371">
        <v>0.32800000000000001</v>
      </c>
      <c r="X174" s="371">
        <v>2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100.52800000000001</v>
      </c>
      <c r="D175" s="376">
        <v>197.49299999999999</v>
      </c>
      <c r="E175" s="376">
        <v>222.03200000000001</v>
      </c>
      <c r="F175" s="376">
        <v>241.42500000000001</v>
      </c>
      <c r="G175" s="376">
        <v>237.863</v>
      </c>
      <c r="H175" s="376">
        <v>239.446</v>
      </c>
      <c r="I175" s="376">
        <v>252.50700000000001</v>
      </c>
      <c r="J175" s="376">
        <v>263.98399999999998</v>
      </c>
      <c r="K175" s="376">
        <v>275.46199999999999</v>
      </c>
      <c r="L175" s="376">
        <v>271.50400000000002</v>
      </c>
      <c r="M175" s="376">
        <v>278.62799999999999</v>
      </c>
      <c r="N175" s="376">
        <v>281.39800000000002</v>
      </c>
      <c r="O175" s="376">
        <v>272.29599999999999</v>
      </c>
      <c r="P175" s="376">
        <v>258.44299999999998</v>
      </c>
      <c r="Q175" s="376">
        <v>218.47</v>
      </c>
      <c r="R175" s="376">
        <v>188.786</v>
      </c>
      <c r="S175" s="376">
        <v>74.802000000000007</v>
      </c>
      <c r="T175" s="376">
        <v>31.265999999999998</v>
      </c>
      <c r="U175" s="376">
        <v>15.831</v>
      </c>
      <c r="V175" s="376">
        <v>8.7070000000000007</v>
      </c>
      <c r="W175" s="376">
        <v>0</v>
      </c>
      <c r="X175" s="373">
        <v>0</v>
      </c>
      <c r="Y175" s="382">
        <v>0</v>
      </c>
    </row>
    <row r="176" spans="1:26" ht="13.5" thickBot="1" x14ac:dyDescent="0.25">
      <c r="A176" s="379" t="s">
        <v>117</v>
      </c>
      <c r="B176" s="374">
        <f t="shared" ref="B176:X176" si="61">(C175+B175)*(C174-B174)/2</f>
        <v>0.20105600000000001</v>
      </c>
      <c r="C176" s="375">
        <f t="shared" si="61"/>
        <v>0.44703150000000003</v>
      </c>
      <c r="D176" s="375">
        <f t="shared" si="61"/>
        <v>0.6292875</v>
      </c>
      <c r="E176" s="375">
        <f t="shared" si="61"/>
        <v>2.7807419999999996</v>
      </c>
      <c r="F176" s="375">
        <f t="shared" si="61"/>
        <v>1.4378640000000005</v>
      </c>
      <c r="G176" s="375">
        <f t="shared" si="61"/>
        <v>3.1025084999999999</v>
      </c>
      <c r="H176" s="375">
        <f t="shared" si="61"/>
        <v>4.1816005000000001</v>
      </c>
      <c r="I176" s="375">
        <f t="shared" si="61"/>
        <v>4.9066644999999989</v>
      </c>
      <c r="J176" s="375">
        <f t="shared" si="61"/>
        <v>3.2366759999999988</v>
      </c>
      <c r="K176" s="375">
        <f t="shared" si="61"/>
        <v>2.187864000000002</v>
      </c>
      <c r="L176" s="375">
        <f t="shared" si="61"/>
        <v>6.0514519999999985</v>
      </c>
      <c r="M176" s="375">
        <f t="shared" si="61"/>
        <v>7.8403640000000001</v>
      </c>
      <c r="N176" s="375">
        <f t="shared" si="61"/>
        <v>8.3054099999999984</v>
      </c>
      <c r="O176" s="375">
        <f t="shared" si="61"/>
        <v>7.9610850000000006</v>
      </c>
      <c r="P176" s="375">
        <f t="shared" si="61"/>
        <v>10.968999000000004</v>
      </c>
      <c r="Q176" s="375">
        <f t="shared" si="61"/>
        <v>1.2217680000000011</v>
      </c>
      <c r="R176" s="375">
        <f t="shared" si="61"/>
        <v>1.7133220000000016</v>
      </c>
      <c r="S176" s="375">
        <f t="shared" si="61"/>
        <v>0.42427200000000043</v>
      </c>
      <c r="T176" s="375">
        <f t="shared" si="61"/>
        <v>0.14129099999999881</v>
      </c>
      <c r="U176" s="375">
        <f t="shared" si="61"/>
        <v>9.8152000000000086E-2</v>
      </c>
      <c r="V176" s="375">
        <f t="shared" si="61"/>
        <v>0.14801900000000015</v>
      </c>
      <c r="W176" s="375">
        <f t="shared" si="61"/>
        <v>0</v>
      </c>
      <c r="X176" s="375">
        <f t="shared" si="61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324</v>
      </c>
      <c r="B178" s="359">
        <f>ROW(A178)</f>
        <v>178</v>
      </c>
      <c r="C178" s="363" t="s">
        <v>116</v>
      </c>
      <c r="D178" s="353">
        <f>SUM(B181:Y181)</f>
        <v>73.557381500000005</v>
      </c>
      <c r="E178" s="363" t="s">
        <v>115</v>
      </c>
      <c r="F178" s="354">
        <f>D178/g/J178</f>
        <v>156.86619302308719</v>
      </c>
      <c r="G178" s="363" t="s">
        <v>57</v>
      </c>
      <c r="H178" s="64">
        <v>0.1022</v>
      </c>
      <c r="I178" s="363" t="s">
        <v>270</v>
      </c>
      <c r="J178" s="355">
        <f>H178-L178</f>
        <v>4.7800000000000002E-2</v>
      </c>
      <c r="K178" s="363" t="s">
        <v>271</v>
      </c>
      <c r="L178" s="64">
        <v>5.4399999999999997E-2</v>
      </c>
      <c r="M178" s="363" t="s">
        <v>58</v>
      </c>
      <c r="N178" s="396">
        <v>66.5</v>
      </c>
      <c r="O178" s="363" t="s">
        <v>60</v>
      </c>
      <c r="P178" s="396">
        <v>66.5</v>
      </c>
      <c r="Q178" s="363" t="s">
        <v>61</v>
      </c>
      <c r="R178" s="65">
        <v>133</v>
      </c>
      <c r="S178" s="363" t="s">
        <v>62</v>
      </c>
      <c r="T178" s="65">
        <v>24</v>
      </c>
      <c r="U178" s="363" t="s">
        <v>55</v>
      </c>
      <c r="V178" s="66" t="s">
        <v>399</v>
      </c>
      <c r="W178" s="463" t="s">
        <v>394</v>
      </c>
      <c r="X178" s="465">
        <v>2.36</v>
      </c>
      <c r="Y178" s="463" t="s">
        <v>393</v>
      </c>
      <c r="Z178" s="358">
        <v>6</v>
      </c>
    </row>
    <row r="179" spans="1:26" x14ac:dyDescent="0.2">
      <c r="A179" s="362" t="s">
        <v>33</v>
      </c>
      <c r="B179" s="370">
        <v>0</v>
      </c>
      <c r="C179" s="371">
        <v>1.4E-2</v>
      </c>
      <c r="D179" s="371">
        <v>5.6000000000000001E-2</v>
      </c>
      <c r="E179" s="371">
        <v>9.1999999999999998E-2</v>
      </c>
      <c r="F179" s="371">
        <v>0.16</v>
      </c>
      <c r="G179" s="371">
        <v>0.23200000000000001</v>
      </c>
      <c r="H179" s="371">
        <v>0.36299999999999999</v>
      </c>
      <c r="I179" s="371">
        <v>0.499</v>
      </c>
      <c r="J179" s="371">
        <v>0.65500000000000003</v>
      </c>
      <c r="K179" s="371">
        <v>0.84299999999999997</v>
      </c>
      <c r="L179" s="371">
        <v>1.216</v>
      </c>
      <c r="M179" s="371">
        <v>1.3680000000000001</v>
      </c>
      <c r="N179" s="371">
        <v>1.54</v>
      </c>
      <c r="O179" s="371">
        <v>1.675</v>
      </c>
      <c r="P179" s="371">
        <v>1.861</v>
      </c>
      <c r="Q179" s="371">
        <v>2.0129999999999999</v>
      </c>
      <c r="R179" s="371">
        <v>2.1589999999999998</v>
      </c>
      <c r="S179" s="371">
        <v>2.302</v>
      </c>
      <c r="T179" s="371">
        <v>2.4620000000000002</v>
      </c>
      <c r="U179" s="371">
        <v>2.5979999999999999</v>
      </c>
      <c r="V179" s="371">
        <v>2.5979999999999999</v>
      </c>
      <c r="W179" s="371">
        <v>2.5979999999999999</v>
      </c>
      <c r="X179" s="371">
        <v>2.5979999999999999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54.222000000000001</v>
      </c>
      <c r="D180" s="376">
        <v>43.456000000000003</v>
      </c>
      <c r="E180" s="376">
        <v>50.185000000000002</v>
      </c>
      <c r="F180" s="376">
        <v>54.063000000000002</v>
      </c>
      <c r="G180" s="376">
        <v>48.363999999999997</v>
      </c>
      <c r="H180" s="376">
        <v>45.752000000000002</v>
      </c>
      <c r="I180" s="376">
        <v>43.14</v>
      </c>
      <c r="J180" s="376">
        <v>40.29</v>
      </c>
      <c r="K180" s="376">
        <v>37.835999999999999</v>
      </c>
      <c r="L180" s="376">
        <v>32.612000000000002</v>
      </c>
      <c r="M180" s="376">
        <v>30.317</v>
      </c>
      <c r="N180" s="376">
        <v>26.359000000000002</v>
      </c>
      <c r="O180" s="376">
        <v>23.509</v>
      </c>
      <c r="P180" s="376">
        <v>19.077000000000002</v>
      </c>
      <c r="Q180" s="376">
        <v>14.565</v>
      </c>
      <c r="R180" s="376">
        <v>10.053000000000001</v>
      </c>
      <c r="S180" s="376">
        <v>4.8280000000000003</v>
      </c>
      <c r="T180" s="376">
        <v>1.504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117</v>
      </c>
      <c r="B181" s="374">
        <f t="shared" ref="B181:X181" si="62">(C180+B180)*(C179-B179)/2</f>
        <v>0.379554</v>
      </c>
      <c r="C181" s="375">
        <f t="shared" si="62"/>
        <v>2.0512380000000001</v>
      </c>
      <c r="D181" s="375">
        <f t="shared" si="62"/>
        <v>1.685538</v>
      </c>
      <c r="E181" s="375">
        <f t="shared" si="62"/>
        <v>3.5444320000000005</v>
      </c>
      <c r="F181" s="375">
        <f t="shared" si="62"/>
        <v>3.6873720000000003</v>
      </c>
      <c r="G181" s="375">
        <f t="shared" si="62"/>
        <v>6.1645979999999989</v>
      </c>
      <c r="H181" s="375">
        <f t="shared" si="62"/>
        <v>6.0446559999999998</v>
      </c>
      <c r="I181" s="375">
        <f t="shared" si="62"/>
        <v>6.5075400000000014</v>
      </c>
      <c r="J181" s="375">
        <f t="shared" si="62"/>
        <v>7.343843999999998</v>
      </c>
      <c r="K181" s="375">
        <f t="shared" si="62"/>
        <v>13.138552000000001</v>
      </c>
      <c r="L181" s="375">
        <f t="shared" si="62"/>
        <v>4.7826040000000045</v>
      </c>
      <c r="M181" s="375">
        <f t="shared" si="62"/>
        <v>4.8741359999999982</v>
      </c>
      <c r="N181" s="375">
        <f t="shared" si="62"/>
        <v>3.3660900000000002</v>
      </c>
      <c r="O181" s="375">
        <f t="shared" si="62"/>
        <v>3.9604979999999985</v>
      </c>
      <c r="P181" s="375">
        <f t="shared" si="62"/>
        <v>2.5567919999999988</v>
      </c>
      <c r="Q181" s="375">
        <f t="shared" si="62"/>
        <v>1.797113999999999</v>
      </c>
      <c r="R181" s="375">
        <f t="shared" si="62"/>
        <v>1.0639915000000018</v>
      </c>
      <c r="S181" s="375">
        <f t="shared" si="62"/>
        <v>0.50656000000000045</v>
      </c>
      <c r="T181" s="375">
        <f t="shared" si="62"/>
        <v>0.10227199999999975</v>
      </c>
      <c r="U181" s="375">
        <f t="shared" si="62"/>
        <v>0</v>
      </c>
      <c r="V181" s="375">
        <f t="shared" si="62"/>
        <v>0</v>
      </c>
      <c r="W181" s="375">
        <f t="shared" si="62"/>
        <v>0</v>
      </c>
      <c r="X181" s="375">
        <f t="shared" si="62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325</v>
      </c>
      <c r="B183" s="359">
        <f>ROW(A183)</f>
        <v>183</v>
      </c>
      <c r="C183" s="363" t="s">
        <v>116</v>
      </c>
      <c r="D183" s="353">
        <f>SUM(B186:Y186)</f>
        <v>73.169517999999997</v>
      </c>
      <c r="E183" s="363" t="s">
        <v>115</v>
      </c>
      <c r="F183" s="354">
        <f>D183/g/J183</f>
        <v>177.58729673316827</v>
      </c>
      <c r="G183" s="363" t="s">
        <v>57</v>
      </c>
      <c r="H183" s="64">
        <v>9.6000000000000002E-2</v>
      </c>
      <c r="I183" s="363" t="s">
        <v>270</v>
      </c>
      <c r="J183" s="355">
        <f>H183-L183</f>
        <v>4.2000000000000003E-2</v>
      </c>
      <c r="K183" s="363" t="s">
        <v>271</v>
      </c>
      <c r="L183" s="64">
        <v>5.3999999999999999E-2</v>
      </c>
      <c r="M183" s="363" t="s">
        <v>58</v>
      </c>
      <c r="N183" s="396">
        <v>66.5</v>
      </c>
      <c r="O183" s="363" t="s">
        <v>60</v>
      </c>
      <c r="P183" s="396">
        <v>66.5</v>
      </c>
      <c r="Q183" s="363" t="s">
        <v>61</v>
      </c>
      <c r="R183" s="65">
        <v>133</v>
      </c>
      <c r="S183" s="363" t="s">
        <v>62</v>
      </c>
      <c r="T183" s="65">
        <v>24</v>
      </c>
      <c r="U183" s="363" t="s">
        <v>55</v>
      </c>
      <c r="V183" s="66" t="s">
        <v>399</v>
      </c>
      <c r="W183" s="463" t="s">
        <v>394</v>
      </c>
      <c r="X183" s="465">
        <v>0.87</v>
      </c>
      <c r="Y183" s="463" t="s">
        <v>393</v>
      </c>
      <c r="Z183" s="358">
        <v>15</v>
      </c>
    </row>
    <row r="184" spans="1:26" x14ac:dyDescent="0.2">
      <c r="A184" s="362" t="s">
        <v>33</v>
      </c>
      <c r="B184" s="370">
        <v>0</v>
      </c>
      <c r="C184" s="371">
        <v>0.01</v>
      </c>
      <c r="D184" s="371">
        <v>2.3E-2</v>
      </c>
      <c r="E184" s="371">
        <v>0.04</v>
      </c>
      <c r="F184" s="371">
        <v>0.11799999999999999</v>
      </c>
      <c r="G184" s="371">
        <v>0.28299999999999997</v>
      </c>
      <c r="H184" s="371">
        <v>0.51</v>
      </c>
      <c r="I184" s="371">
        <v>0.68799999999999994</v>
      </c>
      <c r="J184" s="371">
        <v>0.78700000000000003</v>
      </c>
      <c r="K184" s="371">
        <v>0.85199999999999998</v>
      </c>
      <c r="L184" s="371">
        <v>0.873</v>
      </c>
      <c r="M184" s="371">
        <v>0.873</v>
      </c>
      <c r="N184" s="371">
        <v>0.873</v>
      </c>
      <c r="O184" s="371">
        <v>0.873</v>
      </c>
      <c r="P184" s="371">
        <v>0.873</v>
      </c>
      <c r="Q184" s="371">
        <v>0.873</v>
      </c>
      <c r="R184" s="371">
        <v>0.873</v>
      </c>
      <c r="S184" s="371">
        <v>0.873</v>
      </c>
      <c r="T184" s="371">
        <v>0.873</v>
      </c>
      <c r="U184" s="371">
        <v>0.873</v>
      </c>
      <c r="V184" s="371">
        <v>0.873</v>
      </c>
      <c r="W184" s="371">
        <v>0.873</v>
      </c>
      <c r="X184" s="371"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6">
        <v>76.073999999999998</v>
      </c>
      <c r="D185" s="376">
        <v>100.185</v>
      </c>
      <c r="E185" s="376">
        <v>92.424999999999997</v>
      </c>
      <c r="F185" s="376">
        <v>100.878</v>
      </c>
      <c r="G185" s="376">
        <v>102.402</v>
      </c>
      <c r="H185" s="376">
        <v>96.442999999999998</v>
      </c>
      <c r="I185" s="376">
        <v>87.436000000000007</v>
      </c>
      <c r="J185" s="376">
        <v>25.911999999999999</v>
      </c>
      <c r="K185" s="376">
        <v>7.2060000000000004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v>0</v>
      </c>
      <c r="U185" s="373">
        <v>0</v>
      </c>
      <c r="V185" s="373">
        <v>0</v>
      </c>
      <c r="W185" s="373">
        <v>0</v>
      </c>
      <c r="X185" s="373">
        <v>0</v>
      </c>
      <c r="Y185" s="382">
        <v>0</v>
      </c>
    </row>
    <row r="186" spans="1:26" ht="13.5" thickBot="1" x14ac:dyDescent="0.25">
      <c r="A186" s="379" t="s">
        <v>117</v>
      </c>
      <c r="B186" s="374">
        <f t="shared" ref="B186:X186" si="63">(C185+B185)*(C184-B184)/2</f>
        <v>0.38036999999999999</v>
      </c>
      <c r="C186" s="375">
        <f t="shared" si="63"/>
        <v>1.1456835000000001</v>
      </c>
      <c r="D186" s="375">
        <f t="shared" si="63"/>
        <v>1.6371850000000003</v>
      </c>
      <c r="E186" s="375">
        <f t="shared" si="63"/>
        <v>7.5388169999999981</v>
      </c>
      <c r="F186" s="375">
        <f t="shared" si="63"/>
        <v>16.770599999999998</v>
      </c>
      <c r="G186" s="375">
        <f t="shared" si="63"/>
        <v>22.568907500000002</v>
      </c>
      <c r="H186" s="375">
        <f t="shared" si="63"/>
        <v>16.365230999999994</v>
      </c>
      <c r="I186" s="375">
        <f t="shared" si="63"/>
        <v>5.6107260000000059</v>
      </c>
      <c r="J186" s="375">
        <f t="shared" si="63"/>
        <v>1.0763349999999992</v>
      </c>
      <c r="K186" s="375">
        <f t="shared" si="63"/>
        <v>7.5663000000000077E-2</v>
      </c>
      <c r="L186" s="375">
        <f t="shared" si="63"/>
        <v>0</v>
      </c>
      <c r="M186" s="375">
        <f t="shared" si="63"/>
        <v>0</v>
      </c>
      <c r="N186" s="375">
        <f t="shared" si="63"/>
        <v>0</v>
      </c>
      <c r="O186" s="375">
        <f t="shared" si="63"/>
        <v>0</v>
      </c>
      <c r="P186" s="375">
        <f t="shared" si="63"/>
        <v>0</v>
      </c>
      <c r="Q186" s="375">
        <f t="shared" si="63"/>
        <v>0</v>
      </c>
      <c r="R186" s="375">
        <f t="shared" si="63"/>
        <v>0</v>
      </c>
      <c r="S186" s="375">
        <f t="shared" si="63"/>
        <v>0</v>
      </c>
      <c r="T186" s="375">
        <f t="shared" si="63"/>
        <v>0</v>
      </c>
      <c r="U186" s="375">
        <f t="shared" si="63"/>
        <v>0</v>
      </c>
      <c r="V186" s="375">
        <f t="shared" si="63"/>
        <v>0</v>
      </c>
      <c r="W186" s="375">
        <f t="shared" si="63"/>
        <v>0</v>
      </c>
      <c r="X186" s="375">
        <f t="shared" si="63"/>
        <v>0</v>
      </c>
      <c r="Y186" s="369"/>
    </row>
    <row r="187" spans="1:26" ht="13.5" thickBo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326</v>
      </c>
      <c r="B188" s="359">
        <f>ROW(A188)</f>
        <v>188</v>
      </c>
      <c r="C188" s="363" t="s">
        <v>116</v>
      </c>
      <c r="D188" s="353">
        <f>SUM(B191:Y191)</f>
        <v>75.254384000000016</v>
      </c>
      <c r="E188" s="363" t="s">
        <v>115</v>
      </c>
      <c r="F188" s="354">
        <f>D188/g/J188</f>
        <v>232.46033422914161</v>
      </c>
      <c r="G188" s="363" t="s">
        <v>57</v>
      </c>
      <c r="H188" s="64">
        <v>9.5000000000000001E-2</v>
      </c>
      <c r="I188" s="363" t="s">
        <v>270</v>
      </c>
      <c r="J188" s="355">
        <f>H188-L188</f>
        <v>3.3000000000000002E-2</v>
      </c>
      <c r="K188" s="363" t="s">
        <v>271</v>
      </c>
      <c r="L188" s="64">
        <f>0.095-0.033</f>
        <v>6.2E-2</v>
      </c>
      <c r="M188" s="363" t="s">
        <v>58</v>
      </c>
      <c r="N188" s="396">
        <v>66.5</v>
      </c>
      <c r="O188" s="363" t="s">
        <v>60</v>
      </c>
      <c r="P188" s="396">
        <v>66.5</v>
      </c>
      <c r="Q188" s="363" t="s">
        <v>61</v>
      </c>
      <c r="R188" s="65">
        <v>133</v>
      </c>
      <c r="S188" s="363" t="s">
        <v>62</v>
      </c>
      <c r="T188" s="65">
        <v>24</v>
      </c>
      <c r="U188" s="363" t="s">
        <v>55</v>
      </c>
      <c r="V188" s="66" t="s">
        <v>399</v>
      </c>
      <c r="W188" s="463" t="s">
        <v>394</v>
      </c>
      <c r="X188" s="465">
        <v>1.5</v>
      </c>
      <c r="Y188" s="463" t="s">
        <v>393</v>
      </c>
      <c r="Z188" s="358">
        <v>12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3.1E-2</v>
      </c>
      <c r="E189" s="371">
        <v>6.2E-2</v>
      </c>
      <c r="F189" s="371">
        <v>0.11700000000000001</v>
      </c>
      <c r="G189" s="371">
        <v>1.2110000000000001</v>
      </c>
      <c r="H189" s="371">
        <v>1.3759999999999999</v>
      </c>
      <c r="I189" s="371">
        <v>1.456</v>
      </c>
      <c r="J189" s="371">
        <v>1.532</v>
      </c>
      <c r="K189" s="371">
        <v>1.577</v>
      </c>
      <c r="L189" s="371">
        <v>2</v>
      </c>
      <c r="M189" s="371">
        <v>2</v>
      </c>
      <c r="N189" s="371">
        <v>2</v>
      </c>
      <c r="O189" s="371">
        <v>2</v>
      </c>
      <c r="P189" s="371">
        <v>2</v>
      </c>
      <c r="Q189" s="371">
        <v>2</v>
      </c>
      <c r="R189" s="371">
        <v>2</v>
      </c>
      <c r="S189" s="371">
        <v>2</v>
      </c>
      <c r="T189" s="371">
        <v>2</v>
      </c>
      <c r="U189" s="371">
        <v>2</v>
      </c>
      <c r="V189" s="371">
        <v>2</v>
      </c>
      <c r="W189" s="371">
        <v>2</v>
      </c>
      <c r="X189" s="371">
        <f t="shared" ref="T189:X190" si="64">W189</f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75.924000000000007</v>
      </c>
      <c r="D190" s="373">
        <v>84.147999999999996</v>
      </c>
      <c r="E190" s="373">
        <v>70.441000000000003</v>
      </c>
      <c r="F190" s="373">
        <v>73.659000000000006</v>
      </c>
      <c r="G190" s="373">
        <v>38.737000000000002</v>
      </c>
      <c r="H190" s="373">
        <v>14.779</v>
      </c>
      <c r="I190" s="373">
        <v>7.2709999999999999</v>
      </c>
      <c r="J190" s="373">
        <v>3.3370000000000002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v>0</v>
      </c>
      <c r="T190" s="373">
        <f t="shared" si="64"/>
        <v>0</v>
      </c>
      <c r="U190" s="373">
        <f t="shared" si="64"/>
        <v>0</v>
      </c>
      <c r="V190" s="373">
        <f t="shared" si="64"/>
        <v>0</v>
      </c>
      <c r="W190" s="373">
        <f t="shared" si="64"/>
        <v>0</v>
      </c>
      <c r="X190" s="373">
        <f t="shared" si="64"/>
        <v>0</v>
      </c>
      <c r="Y190" s="382">
        <v>0</v>
      </c>
    </row>
    <row r="191" spans="1:26" ht="13.5" thickBot="1" x14ac:dyDescent="0.25">
      <c r="A191" s="379" t="s">
        <v>117</v>
      </c>
      <c r="B191" s="374">
        <f t="shared" ref="B191:V191" si="65">(C190+B190)*(C189-B189)/2</f>
        <v>0.75924000000000014</v>
      </c>
      <c r="C191" s="375">
        <f t="shared" si="65"/>
        <v>0.88039599999999996</v>
      </c>
      <c r="D191" s="375">
        <f t="shared" si="65"/>
        <v>2.3961294999999998</v>
      </c>
      <c r="E191" s="375">
        <f t="shared" si="65"/>
        <v>3.9627500000000011</v>
      </c>
      <c r="F191" s="375">
        <f t="shared" si="65"/>
        <v>61.480612000000015</v>
      </c>
      <c r="G191" s="375">
        <f t="shared" si="65"/>
        <v>4.4150699999999956</v>
      </c>
      <c r="H191" s="375">
        <f t="shared" si="65"/>
        <v>0.88200000000000078</v>
      </c>
      <c r="I191" s="375">
        <f t="shared" si="65"/>
        <v>0.40310400000000035</v>
      </c>
      <c r="J191" s="375">
        <f>(K190+J190)*(K189-J189)/2</f>
        <v>7.5082499999999885E-2</v>
      </c>
      <c r="K191" s="375">
        <f t="shared" si="65"/>
        <v>0</v>
      </c>
      <c r="L191" s="375">
        <f t="shared" si="65"/>
        <v>0</v>
      </c>
      <c r="M191" s="375">
        <f t="shared" si="65"/>
        <v>0</v>
      </c>
      <c r="N191" s="375">
        <f t="shared" si="65"/>
        <v>0</v>
      </c>
      <c r="O191" s="375">
        <f t="shared" si="65"/>
        <v>0</v>
      </c>
      <c r="P191" s="375">
        <f t="shared" si="65"/>
        <v>0</v>
      </c>
      <c r="Q191" s="375">
        <f t="shared" si="65"/>
        <v>0</v>
      </c>
      <c r="R191" s="375">
        <f t="shared" si="65"/>
        <v>0</v>
      </c>
      <c r="S191" s="375">
        <f>(T190+S190)*(T189-S189)/2</f>
        <v>0</v>
      </c>
      <c r="T191" s="375">
        <f t="shared" si="65"/>
        <v>0</v>
      </c>
      <c r="U191" s="375">
        <f t="shared" si="65"/>
        <v>0</v>
      </c>
      <c r="V191" s="375">
        <f t="shared" si="65"/>
        <v>0</v>
      </c>
      <c r="W191" s="375">
        <f>(X190+W190)*(X189-W189)/2</f>
        <v>0</v>
      </c>
      <c r="X191" s="375">
        <f>(Y190+X190)*(Y189-X189)/2</f>
        <v>0</v>
      </c>
      <c r="Y191" s="369"/>
    </row>
    <row r="192" spans="1:26" ht="13.5" thickBot="1" x14ac:dyDescent="0.25">
      <c r="A192" s="6" t="s">
        <v>373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536</v>
      </c>
      <c r="B193" s="359">
        <f>ROW(A193)</f>
        <v>193</v>
      </c>
      <c r="C193" s="363" t="s">
        <v>116</v>
      </c>
      <c r="D193" s="353">
        <f>SUM(B196:Y196)</f>
        <v>141.04999999999998</v>
      </c>
      <c r="E193" s="363" t="s">
        <v>115</v>
      </c>
      <c r="F193" s="354">
        <f>D193/g/J193</f>
        <v>186.24592648930721</v>
      </c>
      <c r="G193" s="363" t="s">
        <v>57</v>
      </c>
      <c r="H193" s="64">
        <v>0.16189999999999999</v>
      </c>
      <c r="I193" s="363" t="s">
        <v>270</v>
      </c>
      <c r="J193" s="355">
        <f>H193-L193</f>
        <v>7.7199999999999991E-2</v>
      </c>
      <c r="K193" s="363" t="s">
        <v>271</v>
      </c>
      <c r="L193" s="64">
        <v>8.4699999999999998E-2</v>
      </c>
      <c r="M193" s="363" t="s">
        <v>58</v>
      </c>
      <c r="N193" s="65">
        <v>114</v>
      </c>
      <c r="O193" s="363" t="s">
        <v>60</v>
      </c>
      <c r="P193" s="65">
        <v>114</v>
      </c>
      <c r="Q193" s="363" t="s">
        <v>61</v>
      </c>
      <c r="R193" s="65">
        <v>228</v>
      </c>
      <c r="S193" s="363" t="s">
        <v>62</v>
      </c>
      <c r="T193" s="65">
        <v>24</v>
      </c>
      <c r="U193" s="363" t="s">
        <v>55</v>
      </c>
      <c r="V193" s="66" t="s">
        <v>120</v>
      </c>
      <c r="W193" s="463" t="s">
        <v>394</v>
      </c>
      <c r="X193" s="465">
        <v>0.96</v>
      </c>
      <c r="Y193" s="463" t="s">
        <v>393</v>
      </c>
      <c r="Z193" s="358">
        <v>15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0.03</v>
      </c>
      <c r="E194" s="371">
        <v>0.05</v>
      </c>
      <c r="F194" s="371">
        <v>0.6</v>
      </c>
      <c r="G194" s="371">
        <v>0.67</v>
      </c>
      <c r="H194" s="371">
        <v>0.7</v>
      </c>
      <c r="I194" s="371">
        <v>0.8</v>
      </c>
      <c r="J194" s="371">
        <v>0.9</v>
      </c>
      <c r="K194" s="371">
        <v>1.05</v>
      </c>
      <c r="L194" s="371">
        <f t="shared" ref="L194:W194" si="66">K194</f>
        <v>1.05</v>
      </c>
      <c r="M194" s="371">
        <f t="shared" si="66"/>
        <v>1.05</v>
      </c>
      <c r="N194" s="371">
        <f t="shared" si="66"/>
        <v>1.05</v>
      </c>
      <c r="O194" s="371">
        <f t="shared" si="66"/>
        <v>1.05</v>
      </c>
      <c r="P194" s="371">
        <f t="shared" si="66"/>
        <v>1.05</v>
      </c>
      <c r="Q194" s="371">
        <f t="shared" si="66"/>
        <v>1.05</v>
      </c>
      <c r="R194" s="371">
        <f t="shared" si="66"/>
        <v>1.05</v>
      </c>
      <c r="S194" s="371">
        <f t="shared" si="66"/>
        <v>1.05</v>
      </c>
      <c r="T194" s="371">
        <f t="shared" si="66"/>
        <v>1.05</v>
      </c>
      <c r="U194" s="371">
        <f t="shared" si="66"/>
        <v>1.05</v>
      </c>
      <c r="V194" s="371">
        <f t="shared" si="66"/>
        <v>1.05</v>
      </c>
      <c r="W194" s="371">
        <f t="shared" si="66"/>
        <v>1.05</v>
      </c>
      <c r="X194" s="371"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350</v>
      </c>
      <c r="D195" s="373">
        <v>250</v>
      </c>
      <c r="E195" s="373">
        <v>210</v>
      </c>
      <c r="F195" s="373">
        <v>150</v>
      </c>
      <c r="G195" s="373">
        <v>140</v>
      </c>
      <c r="H195" s="373">
        <v>130</v>
      </c>
      <c r="I195" s="373">
        <v>65</v>
      </c>
      <c r="J195" s="373">
        <v>30</v>
      </c>
      <c r="K195" s="373">
        <v>0</v>
      </c>
      <c r="L195" s="373">
        <v>0</v>
      </c>
      <c r="M195" s="373">
        <v>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ref="S195:X195" si="67">R195</f>
        <v>0</v>
      </c>
      <c r="T195" s="373">
        <f t="shared" si="67"/>
        <v>0</v>
      </c>
      <c r="U195" s="373">
        <f t="shared" si="67"/>
        <v>0</v>
      </c>
      <c r="V195" s="373">
        <f t="shared" si="67"/>
        <v>0</v>
      </c>
      <c r="W195" s="373">
        <f t="shared" si="67"/>
        <v>0</v>
      </c>
      <c r="X195" s="373">
        <f t="shared" si="67"/>
        <v>0</v>
      </c>
      <c r="Y195" s="382">
        <v>0</v>
      </c>
    </row>
    <row r="196" spans="1:26" ht="13.5" thickBot="1" x14ac:dyDescent="0.25">
      <c r="A196" s="379" t="s">
        <v>117</v>
      </c>
      <c r="B196" s="374">
        <f t="shared" ref="B196:X196" si="68">(C195+B195)*(C194-B194)/2</f>
        <v>3.5</v>
      </c>
      <c r="C196" s="375">
        <f t="shared" si="68"/>
        <v>2.9999999999999996</v>
      </c>
      <c r="D196" s="375">
        <f t="shared" si="68"/>
        <v>4.6000000000000005</v>
      </c>
      <c r="E196" s="375">
        <f t="shared" si="68"/>
        <v>98.999999999999986</v>
      </c>
      <c r="F196" s="375">
        <f t="shared" si="68"/>
        <v>10.150000000000009</v>
      </c>
      <c r="G196" s="375">
        <f t="shared" si="68"/>
        <v>4.0499999999999883</v>
      </c>
      <c r="H196" s="375">
        <f t="shared" si="68"/>
        <v>9.7500000000000089</v>
      </c>
      <c r="I196" s="375">
        <f t="shared" si="68"/>
        <v>4.7499999999999991</v>
      </c>
      <c r="J196" s="375">
        <f t="shared" si="68"/>
        <v>2.2500000000000004</v>
      </c>
      <c r="K196" s="375">
        <f t="shared" si="68"/>
        <v>0</v>
      </c>
      <c r="L196" s="375">
        <f t="shared" si="68"/>
        <v>0</v>
      </c>
      <c r="M196" s="375">
        <f t="shared" si="68"/>
        <v>0</v>
      </c>
      <c r="N196" s="375">
        <f t="shared" si="68"/>
        <v>0</v>
      </c>
      <c r="O196" s="375">
        <f t="shared" si="68"/>
        <v>0</v>
      </c>
      <c r="P196" s="375">
        <f t="shared" si="68"/>
        <v>0</v>
      </c>
      <c r="Q196" s="375">
        <f t="shared" si="68"/>
        <v>0</v>
      </c>
      <c r="R196" s="375">
        <f t="shared" si="68"/>
        <v>0</v>
      </c>
      <c r="S196" s="375">
        <f t="shared" si="68"/>
        <v>0</v>
      </c>
      <c r="T196" s="375">
        <f t="shared" si="68"/>
        <v>0</v>
      </c>
      <c r="U196" s="375">
        <f t="shared" si="68"/>
        <v>0</v>
      </c>
      <c r="V196" s="375">
        <f t="shared" si="68"/>
        <v>0</v>
      </c>
      <c r="W196" s="375">
        <f t="shared" si="68"/>
        <v>0</v>
      </c>
      <c r="X196" s="375">
        <f t="shared" si="68"/>
        <v>0</v>
      </c>
      <c r="Y196" s="369"/>
    </row>
    <row r="197" spans="1:26" ht="13.5" thickBot="1" x14ac:dyDescent="0.25">
      <c r="A197" s="12" t="s">
        <v>546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549</v>
      </c>
      <c r="B198" s="359">
        <f>ROW(A198)</f>
        <v>198</v>
      </c>
      <c r="C198" s="363" t="s">
        <v>116</v>
      </c>
      <c r="D198" s="353">
        <f>SUM(B201:Y201)</f>
        <v>142.44</v>
      </c>
      <c r="E198" s="363" t="s">
        <v>115</v>
      </c>
      <c r="F198" s="354">
        <f>D198/g/J198</f>
        <v>192.06187401906058</v>
      </c>
      <c r="G198" s="363" t="s">
        <v>57</v>
      </c>
      <c r="H198" s="64">
        <v>0.15989999999999999</v>
      </c>
      <c r="I198" s="363" t="s">
        <v>270</v>
      </c>
      <c r="J198" s="355">
        <f>H198-L198</f>
        <v>7.5599999999999987E-2</v>
      </c>
      <c r="K198" s="363" t="s">
        <v>271</v>
      </c>
      <c r="L198" s="64">
        <v>8.43E-2</v>
      </c>
      <c r="M198" s="363" t="s">
        <v>58</v>
      </c>
      <c r="N198" s="65">
        <v>114</v>
      </c>
      <c r="O198" s="363" t="s">
        <v>60</v>
      </c>
      <c r="P198" s="65">
        <v>114</v>
      </c>
      <c r="Q198" s="363" t="s">
        <v>61</v>
      </c>
      <c r="R198" s="65">
        <v>228</v>
      </c>
      <c r="S198" s="363" t="s">
        <v>62</v>
      </c>
      <c r="T198" s="65">
        <v>24</v>
      </c>
      <c r="U198" s="363" t="s">
        <v>55</v>
      </c>
      <c r="V198" s="66" t="s">
        <v>401</v>
      </c>
      <c r="W198" s="463" t="s">
        <v>394</v>
      </c>
      <c r="X198" s="465">
        <v>0.97</v>
      </c>
      <c r="Y198" s="463" t="s">
        <v>393</v>
      </c>
      <c r="Z198" s="358"/>
    </row>
    <row r="199" spans="1:26" x14ac:dyDescent="0.2">
      <c r="A199" s="362" t="s">
        <v>33</v>
      </c>
      <c r="B199" s="370">
        <v>0</v>
      </c>
      <c r="C199" s="371">
        <v>0.02</v>
      </c>
      <c r="D199" s="371">
        <v>0.04</v>
      </c>
      <c r="E199" s="371">
        <v>0.62</v>
      </c>
      <c r="F199" s="371">
        <v>0.66</v>
      </c>
      <c r="G199" s="371">
        <v>0.68</v>
      </c>
      <c r="H199" s="371">
        <v>0.8</v>
      </c>
      <c r="I199" s="371">
        <v>0.84</v>
      </c>
      <c r="J199" s="371">
        <v>0.88</v>
      </c>
      <c r="K199" s="371">
        <v>0.92</v>
      </c>
      <c r="L199" s="371">
        <v>0.96</v>
      </c>
      <c r="M199" s="371">
        <v>1</v>
      </c>
      <c r="N199" s="371">
        <v>1.08</v>
      </c>
      <c r="O199" s="371">
        <v>2</v>
      </c>
      <c r="P199" s="371">
        <v>2</v>
      </c>
      <c r="Q199" s="371">
        <v>2</v>
      </c>
      <c r="R199" s="371">
        <v>2</v>
      </c>
      <c r="S199" s="371">
        <f t="shared" ref="S199:X200" si="69">R199</f>
        <v>2</v>
      </c>
      <c r="T199" s="371">
        <f t="shared" si="69"/>
        <v>2</v>
      </c>
      <c r="U199" s="371">
        <f t="shared" si="69"/>
        <v>2</v>
      </c>
      <c r="V199" s="371">
        <f t="shared" si="69"/>
        <v>2</v>
      </c>
      <c r="W199" s="371">
        <f t="shared" si="69"/>
        <v>2</v>
      </c>
      <c r="X199" s="371">
        <f t="shared" si="69"/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250</v>
      </c>
      <c r="D200" s="373">
        <v>210</v>
      </c>
      <c r="E200" s="373">
        <v>160</v>
      </c>
      <c r="F200" s="373">
        <v>150</v>
      </c>
      <c r="G200" s="373">
        <v>142</v>
      </c>
      <c r="H200" s="373">
        <v>62</v>
      </c>
      <c r="I200" s="373">
        <v>48</v>
      </c>
      <c r="J200" s="373">
        <v>34</v>
      </c>
      <c r="K200" s="373">
        <v>24</v>
      </c>
      <c r="L200" s="373">
        <v>15</v>
      </c>
      <c r="M200" s="373">
        <v>10</v>
      </c>
      <c r="N200" s="373">
        <v>0</v>
      </c>
      <c r="O200" s="373">
        <v>0</v>
      </c>
      <c r="P200" s="373">
        <v>0</v>
      </c>
      <c r="Q200" s="373">
        <v>0</v>
      </c>
      <c r="R200" s="373">
        <v>0</v>
      </c>
      <c r="S200" s="373">
        <f t="shared" si="69"/>
        <v>0</v>
      </c>
      <c r="T200" s="373">
        <f t="shared" si="69"/>
        <v>0</v>
      </c>
      <c r="U200" s="373">
        <f t="shared" si="69"/>
        <v>0</v>
      </c>
      <c r="V200" s="373">
        <f t="shared" si="69"/>
        <v>0</v>
      </c>
      <c r="W200" s="373">
        <f t="shared" si="69"/>
        <v>0</v>
      </c>
      <c r="X200" s="373">
        <f t="shared" si="69"/>
        <v>0</v>
      </c>
      <c r="Y200" s="382">
        <v>0</v>
      </c>
    </row>
    <row r="201" spans="1:26" ht="13.5" thickBot="1" x14ac:dyDescent="0.25">
      <c r="A201" s="379" t="s">
        <v>117</v>
      </c>
      <c r="B201" s="374">
        <f t="shared" ref="B201:X201" si="70">(C200+B200)*(C199-B199)/2</f>
        <v>2.5</v>
      </c>
      <c r="C201" s="375">
        <f t="shared" si="70"/>
        <v>4.6000000000000005</v>
      </c>
      <c r="D201" s="375">
        <f t="shared" si="70"/>
        <v>107.3</v>
      </c>
      <c r="E201" s="375">
        <f t="shared" si="70"/>
        <v>6.2000000000000055</v>
      </c>
      <c r="F201" s="375">
        <f t="shared" si="70"/>
        <v>2.9200000000000026</v>
      </c>
      <c r="G201" s="375">
        <f t="shared" si="70"/>
        <v>12.24</v>
      </c>
      <c r="H201" s="375">
        <f t="shared" si="70"/>
        <v>2.1999999999999957</v>
      </c>
      <c r="I201" s="375">
        <f t="shared" si="70"/>
        <v>1.6400000000000015</v>
      </c>
      <c r="J201" s="375">
        <f t="shared" si="70"/>
        <v>1.160000000000001</v>
      </c>
      <c r="K201" s="375">
        <f t="shared" si="70"/>
        <v>0.77999999999999847</v>
      </c>
      <c r="L201" s="375">
        <f t="shared" si="70"/>
        <v>0.50000000000000044</v>
      </c>
      <c r="M201" s="375">
        <f t="shared" si="70"/>
        <v>0.40000000000000036</v>
      </c>
      <c r="N201" s="375">
        <f t="shared" si="70"/>
        <v>0</v>
      </c>
      <c r="O201" s="375">
        <f t="shared" si="70"/>
        <v>0</v>
      </c>
      <c r="P201" s="375">
        <f t="shared" si="70"/>
        <v>0</v>
      </c>
      <c r="Q201" s="375">
        <f t="shared" si="70"/>
        <v>0</v>
      </c>
      <c r="R201" s="375">
        <f t="shared" si="70"/>
        <v>0</v>
      </c>
      <c r="S201" s="375">
        <f t="shared" si="70"/>
        <v>0</v>
      </c>
      <c r="T201" s="375">
        <f t="shared" si="70"/>
        <v>0</v>
      </c>
      <c r="U201" s="375">
        <f t="shared" si="70"/>
        <v>0</v>
      </c>
      <c r="V201" s="375">
        <f t="shared" si="70"/>
        <v>0</v>
      </c>
      <c r="W201" s="375">
        <f t="shared" si="70"/>
        <v>0</v>
      </c>
      <c r="X201" s="375">
        <f t="shared" si="70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538</v>
      </c>
      <c r="B203" s="359">
        <f>ROW(A203)</f>
        <v>203</v>
      </c>
      <c r="C203" s="363" t="s">
        <v>116</v>
      </c>
      <c r="D203" s="353">
        <f>SUM(B206:Y206)</f>
        <v>143.08845000000002</v>
      </c>
      <c r="E203" s="363" t="s">
        <v>115</v>
      </c>
      <c r="F203" s="354">
        <f>D203/g/J203</f>
        <v>168.23504721190514</v>
      </c>
      <c r="G203" s="363" t="s">
        <v>57</v>
      </c>
      <c r="H203" s="64">
        <v>0.17249999999999999</v>
      </c>
      <c r="I203" s="363" t="s">
        <v>270</v>
      </c>
      <c r="J203" s="355">
        <f>H203-L203</f>
        <v>8.6699999999999985E-2</v>
      </c>
      <c r="K203" s="363" t="s">
        <v>271</v>
      </c>
      <c r="L203" s="64">
        <v>8.5800000000000001E-2</v>
      </c>
      <c r="M203" s="363" t="s">
        <v>58</v>
      </c>
      <c r="N203" s="65">
        <v>114</v>
      </c>
      <c r="O203" s="363" t="s">
        <v>60</v>
      </c>
      <c r="P203" s="65">
        <v>114</v>
      </c>
      <c r="Q203" s="363" t="s">
        <v>61</v>
      </c>
      <c r="R203" s="65">
        <v>228</v>
      </c>
      <c r="S203" s="363" t="s">
        <v>62</v>
      </c>
      <c r="T203" s="65">
        <v>24</v>
      </c>
      <c r="U203" s="363" t="s">
        <v>55</v>
      </c>
      <c r="V203" s="66" t="s">
        <v>120</v>
      </c>
      <c r="W203" s="463" t="s">
        <v>394</v>
      </c>
      <c r="X203" s="465">
        <v>0.97</v>
      </c>
      <c r="Y203" s="463" t="s">
        <v>393</v>
      </c>
      <c r="Z203" s="358">
        <v>11</v>
      </c>
    </row>
    <row r="204" spans="1:26" x14ac:dyDescent="0.2">
      <c r="A204" s="362" t="s">
        <v>33</v>
      </c>
      <c r="B204" s="370">
        <v>0</v>
      </c>
      <c r="C204" s="371">
        <v>8.0000000000000002E-3</v>
      </c>
      <c r="D204" s="371">
        <v>1.2999999999999999E-2</v>
      </c>
      <c r="E204" s="371">
        <v>2.1999999999999999E-2</v>
      </c>
      <c r="F204" s="371">
        <v>3.5000000000000003E-2</v>
      </c>
      <c r="G204" s="371">
        <v>6.3E-2</v>
      </c>
      <c r="H204" s="371">
        <v>0.10299999999999999</v>
      </c>
      <c r="I204" s="371">
        <v>0.19600000000000001</v>
      </c>
      <c r="J204" s="371">
        <v>0.311</v>
      </c>
      <c r="K204" s="371">
        <v>0.47399999999999998</v>
      </c>
      <c r="L204" s="371">
        <v>0.56399999999999995</v>
      </c>
      <c r="M204" s="371">
        <v>0.76200000000000001</v>
      </c>
      <c r="N204" s="371">
        <v>0.85799999999999998</v>
      </c>
      <c r="O204" s="371">
        <v>0.92800000000000005</v>
      </c>
      <c r="P204" s="371">
        <v>1.038</v>
      </c>
      <c r="Q204" s="371">
        <v>1.08</v>
      </c>
      <c r="R204" s="371">
        <v>1.131</v>
      </c>
      <c r="S204" s="371">
        <v>1.1850000000000001</v>
      </c>
      <c r="T204" s="371">
        <v>1.224</v>
      </c>
      <c r="U204" s="371">
        <v>1.258</v>
      </c>
      <c r="V204" s="371">
        <v>1.4</v>
      </c>
      <c r="W204" s="371">
        <v>1.4410000000000001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168.643</v>
      </c>
      <c r="D205" s="373">
        <v>177.339</v>
      </c>
      <c r="E205" s="373">
        <v>177.86600000000001</v>
      </c>
      <c r="F205" s="373">
        <v>171.27799999999999</v>
      </c>
      <c r="G205" s="373">
        <v>157.839</v>
      </c>
      <c r="H205" s="373">
        <v>154.941</v>
      </c>
      <c r="I205" s="373">
        <v>148.88</v>
      </c>
      <c r="J205" s="373">
        <v>144.137</v>
      </c>
      <c r="K205" s="373">
        <v>138.07599999999999</v>
      </c>
      <c r="L205" s="373">
        <v>135.70500000000001</v>
      </c>
      <c r="M205" s="373">
        <v>125.955</v>
      </c>
      <c r="N205" s="373">
        <v>116.733</v>
      </c>
      <c r="O205" s="373">
        <v>101.71299999999999</v>
      </c>
      <c r="P205" s="373">
        <v>57.444000000000003</v>
      </c>
      <c r="Q205" s="373">
        <v>42.688000000000002</v>
      </c>
      <c r="R205" s="373">
        <v>31.884</v>
      </c>
      <c r="S205" s="373">
        <v>17.655000000000001</v>
      </c>
      <c r="T205" s="373">
        <v>9.4860000000000007</v>
      </c>
      <c r="U205" s="373">
        <v>5.27</v>
      </c>
      <c r="V205" s="373">
        <v>0.79100000000000004</v>
      </c>
      <c r="W205" s="373">
        <v>0</v>
      </c>
      <c r="X205" s="373">
        <f>W205</f>
        <v>0</v>
      </c>
      <c r="Y205" s="382">
        <v>0</v>
      </c>
    </row>
    <row r="206" spans="1:26" ht="13.5" thickBot="1" x14ac:dyDescent="0.25">
      <c r="A206" s="379" t="s">
        <v>117</v>
      </c>
      <c r="B206" s="374">
        <f t="shared" ref="B206:X206" si="71">(C205+B205)*(C204-B204)/2</f>
        <v>0.67457200000000006</v>
      </c>
      <c r="C206" s="375">
        <f t="shared" si="71"/>
        <v>0.86495499999999981</v>
      </c>
      <c r="D206" s="375">
        <f t="shared" si="71"/>
        <v>1.5984225000000001</v>
      </c>
      <c r="E206" s="375">
        <f t="shared" si="71"/>
        <v>2.2694360000000007</v>
      </c>
      <c r="F206" s="375">
        <f t="shared" si="71"/>
        <v>4.6076379999999988</v>
      </c>
      <c r="G206" s="375">
        <f t="shared" si="71"/>
        <v>6.2555999999999985</v>
      </c>
      <c r="H206" s="375">
        <f t="shared" si="71"/>
        <v>14.127676500000003</v>
      </c>
      <c r="I206" s="375">
        <f t="shared" si="71"/>
        <v>16.848477499999998</v>
      </c>
      <c r="J206" s="375">
        <f t="shared" si="71"/>
        <v>23.000359499999995</v>
      </c>
      <c r="K206" s="375">
        <f t="shared" si="71"/>
        <v>12.320144999999997</v>
      </c>
      <c r="L206" s="375">
        <f t="shared" si="71"/>
        <v>25.904340000000012</v>
      </c>
      <c r="M206" s="375">
        <f t="shared" si="71"/>
        <v>11.649023999999997</v>
      </c>
      <c r="N206" s="375">
        <f t="shared" si="71"/>
        <v>7.6456100000000067</v>
      </c>
      <c r="O206" s="375">
        <f t="shared" si="71"/>
        <v>8.7536349999999974</v>
      </c>
      <c r="P206" s="375">
        <f t="shared" si="71"/>
        <v>2.1027720000000021</v>
      </c>
      <c r="Q206" s="375">
        <f t="shared" si="71"/>
        <v>1.9015859999999976</v>
      </c>
      <c r="R206" s="375">
        <f t="shared" si="71"/>
        <v>1.3375530000000013</v>
      </c>
      <c r="S206" s="375">
        <f t="shared" si="71"/>
        <v>0.52924949999999904</v>
      </c>
      <c r="T206" s="375">
        <f t="shared" si="71"/>
        <v>0.25085200000000024</v>
      </c>
      <c r="U206" s="375">
        <f t="shared" si="71"/>
        <v>0.43033099999999969</v>
      </c>
      <c r="V206" s="375">
        <f t="shared" si="71"/>
        <v>1.621550000000006E-2</v>
      </c>
      <c r="W206" s="375">
        <f t="shared" si="71"/>
        <v>0</v>
      </c>
      <c r="X206" s="375">
        <f t="shared" si="71"/>
        <v>0</v>
      </c>
      <c r="Y206" s="369"/>
    </row>
    <row r="207" spans="1:26" ht="13.5" thickBo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537</v>
      </c>
      <c r="B208" s="359">
        <f>ROW(A208)</f>
        <v>208</v>
      </c>
      <c r="C208" s="363" t="s">
        <v>116</v>
      </c>
      <c r="D208" s="353">
        <f>SUM(B211:Y211)</f>
        <v>139.423417</v>
      </c>
      <c r="E208" s="363" t="s">
        <v>115</v>
      </c>
      <c r="F208" s="354">
        <f>D208/g/J208</f>
        <v>158.62027745922524</v>
      </c>
      <c r="G208" s="363" t="s">
        <v>57</v>
      </c>
      <c r="H208" s="64">
        <v>0.19450000000000001</v>
      </c>
      <c r="I208" s="363" t="s">
        <v>270</v>
      </c>
      <c r="J208" s="355">
        <f>H208-L208</f>
        <v>8.9600000000000013E-2</v>
      </c>
      <c r="K208" s="363" t="s">
        <v>271</v>
      </c>
      <c r="L208" s="64">
        <v>0.10489999999999999</v>
      </c>
      <c r="M208" s="363" t="s">
        <v>58</v>
      </c>
      <c r="N208" s="65">
        <v>114</v>
      </c>
      <c r="O208" s="363" t="s">
        <v>60</v>
      </c>
      <c r="P208" s="65">
        <v>144</v>
      </c>
      <c r="Q208" s="363" t="s">
        <v>61</v>
      </c>
      <c r="R208" s="65">
        <v>228</v>
      </c>
      <c r="S208" s="363" t="s">
        <v>62</v>
      </c>
      <c r="T208" s="65">
        <v>24</v>
      </c>
      <c r="U208" s="363" t="s">
        <v>55</v>
      </c>
      <c r="V208" s="66" t="s">
        <v>120</v>
      </c>
      <c r="W208" s="463" t="s">
        <v>394</v>
      </c>
      <c r="X208" s="465">
        <v>1.3</v>
      </c>
      <c r="Y208" s="463" t="s">
        <v>393</v>
      </c>
      <c r="Z208" s="358">
        <v>12</v>
      </c>
    </row>
    <row r="209" spans="1:26" x14ac:dyDescent="0.2">
      <c r="A209" s="362" t="s">
        <v>33</v>
      </c>
      <c r="B209" s="370">
        <v>0</v>
      </c>
      <c r="C209" s="371">
        <v>1.0999999999999999E-2</v>
      </c>
      <c r="D209" s="371">
        <v>2.1999999999999999E-2</v>
      </c>
      <c r="E209" s="371">
        <v>4.5999999999999999E-2</v>
      </c>
      <c r="F209" s="371">
        <v>8.1000000000000003E-2</v>
      </c>
      <c r="G209" s="371">
        <v>0.219</v>
      </c>
      <c r="H209" s="371">
        <v>0.253</v>
      </c>
      <c r="I209" s="371">
        <v>0.27400000000000002</v>
      </c>
      <c r="J209" s="371">
        <v>0.30499999999999999</v>
      </c>
      <c r="K209" s="371">
        <v>0.41199999999999998</v>
      </c>
      <c r="L209" s="371">
        <v>0.78900000000000003</v>
      </c>
      <c r="M209" s="371">
        <v>0.89900000000000002</v>
      </c>
      <c r="N209" s="371">
        <v>0.95299999999999996</v>
      </c>
      <c r="O209" s="371">
        <v>0.999</v>
      </c>
      <c r="P209" s="371">
        <v>1.03</v>
      </c>
      <c r="Q209" s="371">
        <v>1.0569999999999999</v>
      </c>
      <c r="R209" s="371">
        <v>1.1020000000000001</v>
      </c>
      <c r="S209" s="371">
        <v>1.1539999999999999</v>
      </c>
      <c r="T209" s="371">
        <v>1.1970000000000001</v>
      </c>
      <c r="U209" s="371">
        <v>1.2769999999999999</v>
      </c>
      <c r="V209" s="371">
        <v>1.335</v>
      </c>
      <c r="W209" s="371">
        <v>1.4510000000000001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198.41800000000001</v>
      </c>
      <c r="D210" s="373">
        <v>221.83500000000001</v>
      </c>
      <c r="E210" s="373">
        <v>212.65799999999999</v>
      </c>
      <c r="F210" s="373">
        <v>218.35400000000001</v>
      </c>
      <c r="G210" s="373">
        <v>204.43</v>
      </c>
      <c r="H210" s="373">
        <v>195.886</v>
      </c>
      <c r="I210" s="373">
        <v>183.54400000000001</v>
      </c>
      <c r="J210" s="373">
        <v>88.290999999999997</v>
      </c>
      <c r="K210" s="373">
        <v>93.671000000000006</v>
      </c>
      <c r="L210" s="373">
        <v>93.986999999999995</v>
      </c>
      <c r="M210" s="373">
        <v>91.138999999999996</v>
      </c>
      <c r="N210" s="373">
        <v>89.873000000000005</v>
      </c>
      <c r="O210" s="373">
        <v>87.025000000000006</v>
      </c>
      <c r="P210" s="373">
        <v>81.328999999999994</v>
      </c>
      <c r="Q210" s="373">
        <v>69.936999999999998</v>
      </c>
      <c r="R210" s="373">
        <v>54.113999999999997</v>
      </c>
      <c r="S210" s="373">
        <v>42.405000000000001</v>
      </c>
      <c r="T210" s="373">
        <v>31.646000000000001</v>
      </c>
      <c r="U210" s="373">
        <v>17.088999999999999</v>
      </c>
      <c r="V210" s="373">
        <v>9.81</v>
      </c>
      <c r="W210" s="373">
        <v>0</v>
      </c>
      <c r="X210" s="373">
        <v>0</v>
      </c>
      <c r="Y210" s="382">
        <v>0</v>
      </c>
    </row>
    <row r="211" spans="1:26" ht="13.5" thickBot="1" x14ac:dyDescent="0.25">
      <c r="A211" s="379" t="s">
        <v>117</v>
      </c>
      <c r="B211" s="374">
        <f t="shared" ref="B211:X211" si="72">(C210+B210)*(C209-B209)/2</f>
        <v>1.091299</v>
      </c>
      <c r="C211" s="375">
        <f t="shared" si="72"/>
        <v>2.3113915</v>
      </c>
      <c r="D211" s="375">
        <f t="shared" si="72"/>
        <v>5.2139160000000002</v>
      </c>
      <c r="E211" s="375">
        <f t="shared" si="72"/>
        <v>7.5427100000000005</v>
      </c>
      <c r="F211" s="375">
        <f t="shared" si="72"/>
        <v>29.172096000000003</v>
      </c>
      <c r="G211" s="375">
        <f t="shared" si="72"/>
        <v>6.8053720000000011</v>
      </c>
      <c r="H211" s="375">
        <f t="shared" si="72"/>
        <v>3.9840150000000034</v>
      </c>
      <c r="I211" s="375">
        <f t="shared" si="72"/>
        <v>4.2134424999999966</v>
      </c>
      <c r="J211" s="375">
        <f t="shared" si="72"/>
        <v>9.7349669999999975</v>
      </c>
      <c r="K211" s="375">
        <f t="shared" si="72"/>
        <v>35.373533000000009</v>
      </c>
      <c r="L211" s="375">
        <f t="shared" si="72"/>
        <v>10.181929999999998</v>
      </c>
      <c r="M211" s="375">
        <f t="shared" si="72"/>
        <v>4.8873239999999942</v>
      </c>
      <c r="N211" s="375">
        <f t="shared" si="72"/>
        <v>4.068654000000004</v>
      </c>
      <c r="O211" s="375">
        <f t="shared" si="72"/>
        <v>2.6094870000000019</v>
      </c>
      <c r="P211" s="375">
        <f t="shared" si="72"/>
        <v>2.0420909999999934</v>
      </c>
      <c r="Q211" s="375">
        <f t="shared" si="72"/>
        <v>2.791147500000009</v>
      </c>
      <c r="R211" s="375">
        <f t="shared" si="72"/>
        <v>2.5094939999999917</v>
      </c>
      <c r="S211" s="375">
        <f t="shared" si="72"/>
        <v>1.5920965000000056</v>
      </c>
      <c r="T211" s="375">
        <f t="shared" si="72"/>
        <v>1.9493999999999962</v>
      </c>
      <c r="U211" s="375">
        <f t="shared" si="72"/>
        <v>0.78007100000000074</v>
      </c>
      <c r="V211" s="375">
        <f t="shared" si="72"/>
        <v>0.56898000000000049</v>
      </c>
      <c r="W211" s="375">
        <f t="shared" si="72"/>
        <v>0</v>
      </c>
      <c r="X211" s="375">
        <f t="shared" si="72"/>
        <v>0</v>
      </c>
      <c r="Y211" s="369"/>
    </row>
    <row r="212" spans="1:26" ht="13.5" thickBot="1" x14ac:dyDescent="0.25">
      <c r="A212" s="6" t="s">
        <v>315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375</v>
      </c>
      <c r="B213" s="359">
        <f>ROW(A213)</f>
        <v>213</v>
      </c>
      <c r="C213" s="363" t="s">
        <v>116</v>
      </c>
      <c r="D213" s="353">
        <f>SUM(B216:Y216)</f>
        <v>82.798500000000018</v>
      </c>
      <c r="E213" s="363" t="s">
        <v>115</v>
      </c>
      <c r="F213" s="354">
        <f>D213/g/J213</f>
        <v>131.87834480122325</v>
      </c>
      <c r="G213" s="363" t="s">
        <v>57</v>
      </c>
      <c r="H213" s="64">
        <v>0.152</v>
      </c>
      <c r="I213" s="363" t="s">
        <v>270</v>
      </c>
      <c r="J213" s="355">
        <f>H213-L213</f>
        <v>6.4000000000000001E-2</v>
      </c>
      <c r="K213" s="363" t="s">
        <v>271</v>
      </c>
      <c r="L213" s="64">
        <v>8.7999999999999995E-2</v>
      </c>
      <c r="M213" s="363" t="s">
        <v>58</v>
      </c>
      <c r="N213" s="65">
        <v>71</v>
      </c>
      <c r="O213" s="363" t="s">
        <v>60</v>
      </c>
      <c r="P213" s="65">
        <v>71</v>
      </c>
      <c r="Q213" s="363" t="s">
        <v>61</v>
      </c>
      <c r="R213" s="65">
        <v>142</v>
      </c>
      <c r="S213" s="363" t="s">
        <v>62</v>
      </c>
      <c r="T213" s="65">
        <v>29</v>
      </c>
      <c r="U213" s="363" t="s">
        <v>55</v>
      </c>
      <c r="V213" s="66" t="s">
        <v>120</v>
      </c>
      <c r="W213" s="463" t="s">
        <v>394</v>
      </c>
      <c r="X213" s="465">
        <v>0.96</v>
      </c>
      <c r="Y213" s="463" t="s">
        <v>393</v>
      </c>
      <c r="Z213" s="358">
        <v>11</v>
      </c>
    </row>
    <row r="214" spans="1:26" x14ac:dyDescent="0.2">
      <c r="A214" s="362" t="s">
        <v>33</v>
      </c>
      <c r="B214" s="370">
        <v>0</v>
      </c>
      <c r="C214" s="371">
        <v>0.02</v>
      </c>
      <c r="D214" s="371">
        <v>0.03</v>
      </c>
      <c r="E214" s="371">
        <v>0.04</v>
      </c>
      <c r="F214" s="371">
        <v>0.06</v>
      </c>
      <c r="G214" s="371">
        <v>0.08</v>
      </c>
      <c r="H214" s="371">
        <v>0.15</v>
      </c>
      <c r="I214" s="371">
        <v>0.18</v>
      </c>
      <c r="J214" s="371">
        <v>0.2</v>
      </c>
      <c r="K214" s="371">
        <v>0.3</v>
      </c>
      <c r="L214" s="371">
        <v>0.4</v>
      </c>
      <c r="M214" s="371">
        <v>0.5</v>
      </c>
      <c r="N214" s="371">
        <v>0.6</v>
      </c>
      <c r="O214" s="371">
        <v>0.7</v>
      </c>
      <c r="P214" s="371">
        <v>0.82</v>
      </c>
      <c r="Q214" s="371">
        <v>0.93</v>
      </c>
      <c r="R214" s="371">
        <v>1</v>
      </c>
      <c r="S214" s="371">
        <f t="shared" ref="S214:X215" si="73">R214</f>
        <v>1</v>
      </c>
      <c r="T214" s="371">
        <f t="shared" si="73"/>
        <v>1</v>
      </c>
      <c r="U214" s="371">
        <f t="shared" si="73"/>
        <v>1</v>
      </c>
      <c r="V214" s="371">
        <f t="shared" si="73"/>
        <v>1</v>
      </c>
      <c r="W214" s="371">
        <f t="shared" si="73"/>
        <v>1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3">
        <v>41.9</v>
      </c>
      <c r="D215" s="373">
        <v>92.1</v>
      </c>
      <c r="E215" s="373">
        <v>116.7</v>
      </c>
      <c r="F215" s="373">
        <v>112.7</v>
      </c>
      <c r="G215" s="373">
        <v>82.7</v>
      </c>
      <c r="H215" s="373">
        <v>84.7</v>
      </c>
      <c r="I215" s="373">
        <v>86.2</v>
      </c>
      <c r="J215" s="373">
        <v>87.9</v>
      </c>
      <c r="K215" s="373">
        <v>90.9</v>
      </c>
      <c r="L215" s="373">
        <v>93.9</v>
      </c>
      <c r="M215" s="373">
        <v>95.3</v>
      </c>
      <c r="N215" s="373">
        <v>96.8</v>
      </c>
      <c r="O215" s="373">
        <v>97.6</v>
      </c>
      <c r="P215" s="373">
        <v>108.2</v>
      </c>
      <c r="Q215" s="373">
        <v>11</v>
      </c>
      <c r="R215" s="373">
        <v>0</v>
      </c>
      <c r="S215" s="373">
        <f t="shared" si="73"/>
        <v>0</v>
      </c>
      <c r="T215" s="373">
        <f t="shared" si="73"/>
        <v>0</v>
      </c>
      <c r="U215" s="373">
        <f t="shared" si="73"/>
        <v>0</v>
      </c>
      <c r="V215" s="373">
        <f t="shared" si="73"/>
        <v>0</v>
      </c>
      <c r="W215" s="373">
        <f t="shared" si="73"/>
        <v>0</v>
      </c>
      <c r="X215" s="373">
        <f t="shared" si="73"/>
        <v>0</v>
      </c>
      <c r="Y215" s="382">
        <v>0</v>
      </c>
    </row>
    <row r="216" spans="1:26" ht="13.5" thickBot="1" x14ac:dyDescent="0.25">
      <c r="A216" s="379" t="s">
        <v>117</v>
      </c>
      <c r="B216" s="374">
        <f t="shared" ref="B216:V216" si="74">(C215+B215)*(C214-B214)/2</f>
        <v>0.41899999999999998</v>
      </c>
      <c r="C216" s="375">
        <f t="shared" si="74"/>
        <v>0.66999999999999993</v>
      </c>
      <c r="D216" s="375">
        <f t="shared" si="74"/>
        <v>1.0440000000000003</v>
      </c>
      <c r="E216" s="375">
        <f t="shared" si="74"/>
        <v>2.2939999999999996</v>
      </c>
      <c r="F216" s="375">
        <f t="shared" si="74"/>
        <v>1.9540000000000004</v>
      </c>
      <c r="G216" s="375">
        <f t="shared" si="74"/>
        <v>5.859</v>
      </c>
      <c r="H216" s="375">
        <f t="shared" si="74"/>
        <v>2.5634999999999999</v>
      </c>
      <c r="I216" s="375">
        <f t="shared" si="74"/>
        <v>1.7410000000000019</v>
      </c>
      <c r="J216" s="375">
        <f>(K215+J215)*(K214-J214)/2</f>
        <v>8.9399999999999977</v>
      </c>
      <c r="K216" s="375">
        <f t="shared" si="74"/>
        <v>9.2400000000000038</v>
      </c>
      <c r="L216" s="375">
        <f t="shared" si="74"/>
        <v>9.4599999999999973</v>
      </c>
      <c r="M216" s="375">
        <f t="shared" si="74"/>
        <v>9.6049999999999969</v>
      </c>
      <c r="N216" s="375">
        <f t="shared" si="74"/>
        <v>9.7199999999999971</v>
      </c>
      <c r="O216" s="375">
        <f t="shared" si="74"/>
        <v>12.348000000000001</v>
      </c>
      <c r="P216" s="375">
        <f t="shared" si="74"/>
        <v>6.5560000000000063</v>
      </c>
      <c r="Q216" s="375">
        <f t="shared" si="74"/>
        <v>0.38499999999999973</v>
      </c>
      <c r="R216" s="375">
        <f t="shared" si="74"/>
        <v>0</v>
      </c>
      <c r="S216" s="375">
        <f>(T215+S215)*(T214-S214)/2</f>
        <v>0</v>
      </c>
      <c r="T216" s="375">
        <f t="shared" si="74"/>
        <v>0</v>
      </c>
      <c r="U216" s="375">
        <f t="shared" si="74"/>
        <v>0</v>
      </c>
      <c r="V216" s="375">
        <f t="shared" si="74"/>
        <v>0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376</v>
      </c>
      <c r="B218" s="359">
        <f>ROW(A218)</f>
        <v>218</v>
      </c>
      <c r="C218" s="363" t="s">
        <v>116</v>
      </c>
      <c r="D218" s="353">
        <f>SUM(B221:Y221)</f>
        <v>98.257101163036367</v>
      </c>
      <c r="E218" s="363" t="s">
        <v>115</v>
      </c>
      <c r="F218" s="354">
        <f>D218/g/J218</f>
        <v>177.58890761893778</v>
      </c>
      <c r="G218" s="363" t="s">
        <v>57</v>
      </c>
      <c r="H218" s="64">
        <v>0.14319999999999999</v>
      </c>
      <c r="I218" s="363" t="s">
        <v>270</v>
      </c>
      <c r="J218" s="355">
        <f>H218-L218</f>
        <v>5.6399999999999992E-2</v>
      </c>
      <c r="K218" s="363" t="s">
        <v>271</v>
      </c>
      <c r="L218" s="64">
        <v>8.6800000000000002E-2</v>
      </c>
      <c r="M218" s="363" t="s">
        <v>58</v>
      </c>
      <c r="N218" s="65">
        <v>71</v>
      </c>
      <c r="O218" s="363" t="s">
        <v>60</v>
      </c>
      <c r="P218" s="65">
        <v>71</v>
      </c>
      <c r="Q218" s="363" t="s">
        <v>61</v>
      </c>
      <c r="R218" s="65">
        <v>142</v>
      </c>
      <c r="S218" s="363" t="s">
        <v>62</v>
      </c>
      <c r="T218" s="65">
        <v>29</v>
      </c>
      <c r="U218" s="363" t="s">
        <v>55</v>
      </c>
      <c r="V218" s="66" t="s">
        <v>120</v>
      </c>
      <c r="W218" s="463" t="s">
        <v>394</v>
      </c>
      <c r="X218" s="465">
        <v>1.1499999999999999</v>
      </c>
      <c r="Y218" s="463" t="s">
        <v>393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1.4999999999999999E-2</v>
      </c>
      <c r="D219" s="371">
        <v>0.03</v>
      </c>
      <c r="E219" s="371">
        <v>4.4999999999999998E-2</v>
      </c>
      <c r="F219" s="371">
        <v>0.06</v>
      </c>
      <c r="G219" s="371">
        <v>7.4999999999999997E-2</v>
      </c>
      <c r="H219" s="371">
        <v>0.09</v>
      </c>
      <c r="I219" s="371">
        <v>0.105</v>
      </c>
      <c r="J219" s="371">
        <v>0.12</v>
      </c>
      <c r="K219" s="371">
        <v>0.18</v>
      </c>
      <c r="L219" s="371">
        <v>0.24</v>
      </c>
      <c r="M219" s="371">
        <v>0.3</v>
      </c>
      <c r="N219" s="371">
        <v>0.48</v>
      </c>
      <c r="O219" s="371">
        <v>0.6</v>
      </c>
      <c r="P219" s="371">
        <v>0.66</v>
      </c>
      <c r="Q219" s="371">
        <v>0.72</v>
      </c>
      <c r="R219" s="371">
        <v>0.78</v>
      </c>
      <c r="S219" s="371">
        <v>0.84</v>
      </c>
      <c r="T219" s="371">
        <v>0.9</v>
      </c>
      <c r="U219" s="371">
        <v>0.96</v>
      </c>
      <c r="V219" s="371">
        <v>1.0349999999999999</v>
      </c>
      <c r="W219" s="371">
        <v>1.2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6">
        <v>99.328788958822486</v>
      </c>
      <c r="D220" s="376">
        <v>109.07039432469</v>
      </c>
      <c r="E220" s="376">
        <v>65.255411286427503</v>
      </c>
      <c r="F220" s="376">
        <v>67.568486533117493</v>
      </c>
      <c r="G220" s="376">
        <v>73.929443461515007</v>
      </c>
      <c r="H220" s="376">
        <v>74.329783408057494</v>
      </c>
      <c r="I220" s="376">
        <v>78.1552540083525</v>
      </c>
      <c r="J220" s="376">
        <v>78.600076171177506</v>
      </c>
      <c r="K220" s="376">
        <v>82.203135690059995</v>
      </c>
      <c r="L220" s="376">
        <v>84.516210936749999</v>
      </c>
      <c r="M220" s="376">
        <v>88.51961040217499</v>
      </c>
      <c r="N220" s="376">
        <v>95.102978411984992</v>
      </c>
      <c r="O220" s="376">
        <v>95.547800574809997</v>
      </c>
      <c r="P220" s="376">
        <v>94.480227384029988</v>
      </c>
      <c r="Q220" s="376">
        <v>92.122669921057494</v>
      </c>
      <c r="R220" s="376">
        <v>90.743721216299988</v>
      </c>
      <c r="S220" s="376">
        <v>88.964432564999996</v>
      </c>
      <c r="T220" s="376">
        <v>85.405855262399996</v>
      </c>
      <c r="U220" s="376">
        <v>83.448637745970004</v>
      </c>
      <c r="V220" s="376">
        <v>88.074788239349999</v>
      </c>
      <c r="W220" s="376">
        <v>0</v>
      </c>
      <c r="X220" s="373">
        <v>0</v>
      </c>
      <c r="Y220" s="382">
        <v>0</v>
      </c>
    </row>
    <row r="221" spans="1:26" ht="13.5" thickBot="1" x14ac:dyDescent="0.25">
      <c r="A221" s="379" t="s">
        <v>117</v>
      </c>
      <c r="B221" s="374">
        <f t="shared" ref="B221:V221" si="75">(C220+B220)*(C219-B219)/2</f>
        <v>0.74496591719116867</v>
      </c>
      <c r="C221" s="375">
        <f t="shared" si="75"/>
        <v>1.5629938746263436</v>
      </c>
      <c r="D221" s="375">
        <f t="shared" si="75"/>
        <v>1.3074435420833814</v>
      </c>
      <c r="E221" s="375">
        <f t="shared" si="75"/>
        <v>0.99617923364658734</v>
      </c>
      <c r="F221" s="375">
        <f t="shared" si="75"/>
        <v>1.0612344749597438</v>
      </c>
      <c r="G221" s="375">
        <f t="shared" si="75"/>
        <v>1.1119442015217937</v>
      </c>
      <c r="H221" s="375">
        <f t="shared" si="75"/>
        <v>1.1436377806230749</v>
      </c>
      <c r="I221" s="375">
        <f t="shared" si="75"/>
        <v>1.175664976346475</v>
      </c>
      <c r="J221" s="375">
        <f>(K220+J220)*(K219-J219)/2</f>
        <v>4.824096355837125</v>
      </c>
      <c r="K221" s="375">
        <f t="shared" si="75"/>
        <v>5.0015803988042995</v>
      </c>
      <c r="L221" s="375">
        <f t="shared" si="75"/>
        <v>5.1910746401677494</v>
      </c>
      <c r="M221" s="375">
        <f t="shared" si="75"/>
        <v>16.526032993274399</v>
      </c>
      <c r="N221" s="375">
        <f t="shared" si="75"/>
        <v>11.439046739207699</v>
      </c>
      <c r="O221" s="375">
        <f t="shared" si="75"/>
        <v>5.7008408387652043</v>
      </c>
      <c r="P221" s="375">
        <f t="shared" si="75"/>
        <v>5.5980869191526192</v>
      </c>
      <c r="Q221" s="375">
        <f t="shared" si="75"/>
        <v>5.4859917341207289</v>
      </c>
      <c r="R221" s="375">
        <f t="shared" si="75"/>
        <v>5.3912446134389942</v>
      </c>
      <c r="S221" s="375">
        <f>(T220+S220)*(T219-S219)/2</f>
        <v>5.2311086348220037</v>
      </c>
      <c r="T221" s="375">
        <f t="shared" si="75"/>
        <v>5.0656347902510959</v>
      </c>
      <c r="U221" s="375">
        <f t="shared" si="75"/>
        <v>6.4321284744494962</v>
      </c>
      <c r="V221" s="375">
        <f t="shared" si="75"/>
        <v>7.2661700297463767</v>
      </c>
      <c r="W221" s="375">
        <f>(X220+W220)*(X219-W219)/2</f>
        <v>0</v>
      </c>
      <c r="X221" s="375">
        <f>(Y220+X220)*(Y219-X219)/2</f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377</v>
      </c>
      <c r="B223" s="359">
        <f>ROW(A223)</f>
        <v>223</v>
      </c>
      <c r="C223" s="363" t="s">
        <v>116</v>
      </c>
      <c r="D223" s="353">
        <f>SUM(B226:Y226)</f>
        <v>109.60639850000001</v>
      </c>
      <c r="E223" s="363" t="s">
        <v>115</v>
      </c>
      <c r="F223" s="354">
        <f>D223/g/J223</f>
        <v>194.31174666489383</v>
      </c>
      <c r="G223" s="363" t="s">
        <v>57</v>
      </c>
      <c r="H223" s="64">
        <v>0.14130000000000001</v>
      </c>
      <c r="I223" s="363" t="s">
        <v>270</v>
      </c>
      <c r="J223" s="355">
        <f>H223-L223</f>
        <v>5.7500000000000009E-2</v>
      </c>
      <c r="K223" s="363" t="s">
        <v>271</v>
      </c>
      <c r="L223" s="64">
        <v>8.3799999999999999E-2</v>
      </c>
      <c r="M223" s="363" t="s">
        <v>58</v>
      </c>
      <c r="N223" s="65">
        <v>71</v>
      </c>
      <c r="O223" s="363" t="s">
        <v>60</v>
      </c>
      <c r="P223" s="65">
        <v>71</v>
      </c>
      <c r="Q223" s="363" t="s">
        <v>61</v>
      </c>
      <c r="R223" s="65">
        <v>142</v>
      </c>
      <c r="S223" s="363" t="s">
        <v>62</v>
      </c>
      <c r="T223" s="65">
        <v>29</v>
      </c>
      <c r="U223" s="363" t="s">
        <v>55</v>
      </c>
      <c r="V223" s="66" t="s">
        <v>401</v>
      </c>
      <c r="W223" s="463" t="s">
        <v>394</v>
      </c>
      <c r="X223" s="465">
        <v>0.45</v>
      </c>
      <c r="Y223" s="463" t="s">
        <v>393</v>
      </c>
      <c r="Z223" s="358">
        <v>14</v>
      </c>
    </row>
    <row r="224" spans="1:26" x14ac:dyDescent="0.2">
      <c r="A224" s="362" t="s">
        <v>33</v>
      </c>
      <c r="B224" s="370">
        <v>0</v>
      </c>
      <c r="C224" s="371">
        <v>6.0000000000000001E-3</v>
      </c>
      <c r="D224" s="371">
        <v>1.0999999999999999E-2</v>
      </c>
      <c r="E224" s="371">
        <v>1.6E-2</v>
      </c>
      <c r="F224" s="371">
        <v>3.1E-2</v>
      </c>
      <c r="G224" s="371">
        <v>7.4999999999999997E-2</v>
      </c>
      <c r="H224" s="371">
        <v>0.122</v>
      </c>
      <c r="I224" s="371">
        <v>0.216</v>
      </c>
      <c r="J224" s="371">
        <v>0.25</v>
      </c>
      <c r="K224" s="371">
        <v>0.28699999999999998</v>
      </c>
      <c r="L224" s="371">
        <v>0.35399999999999998</v>
      </c>
      <c r="M224" s="371">
        <v>0.374</v>
      </c>
      <c r="N224" s="371">
        <v>0.4</v>
      </c>
      <c r="O224" s="371">
        <v>0.41299999999999998</v>
      </c>
      <c r="P224" s="371">
        <v>0.42</v>
      </c>
      <c r="Q224" s="371">
        <v>0.433</v>
      </c>
      <c r="R224" s="371">
        <v>0.44500000000000001</v>
      </c>
      <c r="S224" s="371">
        <v>0.45400000000000001</v>
      </c>
      <c r="T224" s="371">
        <f t="shared" ref="T224:X225" si="76">S224</f>
        <v>0.45400000000000001</v>
      </c>
      <c r="U224" s="371">
        <f t="shared" si="76"/>
        <v>0.45400000000000001</v>
      </c>
      <c r="V224" s="371">
        <f t="shared" si="76"/>
        <v>0.45400000000000001</v>
      </c>
      <c r="W224" s="371">
        <f t="shared" si="76"/>
        <v>0.45400000000000001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3">
        <v>151.62100000000001</v>
      </c>
      <c r="D225" s="373">
        <v>198.07900000000001</v>
      </c>
      <c r="E225" s="373">
        <v>203.12100000000001</v>
      </c>
      <c r="F225" s="373">
        <v>201.68100000000001</v>
      </c>
      <c r="G225" s="373">
        <v>226.17</v>
      </c>
      <c r="H225" s="373">
        <v>250.3</v>
      </c>
      <c r="I225" s="373">
        <v>280.19200000000001</v>
      </c>
      <c r="J225" s="373">
        <v>287.03500000000003</v>
      </c>
      <c r="K225" s="373">
        <v>284.87400000000002</v>
      </c>
      <c r="L225" s="373">
        <v>269.74799999999999</v>
      </c>
      <c r="M225" s="373">
        <v>258.58300000000003</v>
      </c>
      <c r="N225" s="373">
        <v>233.37299999999999</v>
      </c>
      <c r="O225" s="373">
        <v>234.09399999999999</v>
      </c>
      <c r="P225" s="373">
        <v>227.61099999999999</v>
      </c>
      <c r="Q225" s="373">
        <v>137.935</v>
      </c>
      <c r="R225" s="373">
        <v>33.853999999999999</v>
      </c>
      <c r="S225" s="373">
        <v>0</v>
      </c>
      <c r="T225" s="373">
        <f t="shared" si="76"/>
        <v>0</v>
      </c>
      <c r="U225" s="373">
        <f t="shared" si="76"/>
        <v>0</v>
      </c>
      <c r="V225" s="373">
        <f t="shared" si="76"/>
        <v>0</v>
      </c>
      <c r="W225" s="373">
        <f t="shared" si="76"/>
        <v>0</v>
      </c>
      <c r="X225" s="373">
        <f t="shared" si="76"/>
        <v>0</v>
      </c>
      <c r="Y225" s="382">
        <v>0</v>
      </c>
    </row>
    <row r="226" spans="1:26" ht="13.5" thickBot="1" x14ac:dyDescent="0.25">
      <c r="A226" s="379" t="s">
        <v>117</v>
      </c>
      <c r="B226" s="374">
        <f t="shared" ref="B226:X226" si="77">(C225+B225)*(C224-B224)/2</f>
        <v>0.45486300000000002</v>
      </c>
      <c r="C226" s="375">
        <f t="shared" si="77"/>
        <v>0.87424999999999997</v>
      </c>
      <c r="D226" s="375">
        <f t="shared" si="77"/>
        <v>1.0030000000000003</v>
      </c>
      <c r="E226" s="375">
        <f t="shared" si="77"/>
        <v>3.0360149999999999</v>
      </c>
      <c r="F226" s="375">
        <f t="shared" si="77"/>
        <v>9.4127219999999987</v>
      </c>
      <c r="G226" s="375">
        <f t="shared" si="77"/>
        <v>11.197045000000001</v>
      </c>
      <c r="H226" s="375">
        <f t="shared" si="77"/>
        <v>24.933123999999999</v>
      </c>
      <c r="I226" s="375">
        <f t="shared" si="77"/>
        <v>9.6428590000000014</v>
      </c>
      <c r="J226" s="375">
        <f t="shared" si="77"/>
        <v>10.580316499999995</v>
      </c>
      <c r="K226" s="375">
        <f t="shared" si="77"/>
        <v>18.579837000000005</v>
      </c>
      <c r="L226" s="375">
        <f t="shared" si="77"/>
        <v>5.2833100000000046</v>
      </c>
      <c r="M226" s="375">
        <f t="shared" si="77"/>
        <v>6.3954280000000061</v>
      </c>
      <c r="N226" s="375">
        <f t="shared" si="77"/>
        <v>3.0385354999999898</v>
      </c>
      <c r="O226" s="375">
        <f t="shared" si="77"/>
        <v>1.6159675000000013</v>
      </c>
      <c r="P226" s="375">
        <f t="shared" si="77"/>
        <v>2.3760490000000019</v>
      </c>
      <c r="Q226" s="375">
        <f t="shared" si="77"/>
        <v>1.0307340000000009</v>
      </c>
      <c r="R226" s="375">
        <f t="shared" si="77"/>
        <v>0.15234300000000014</v>
      </c>
      <c r="S226" s="375">
        <f t="shared" si="77"/>
        <v>0</v>
      </c>
      <c r="T226" s="375">
        <f t="shared" si="77"/>
        <v>0</v>
      </c>
      <c r="U226" s="375">
        <f t="shared" si="77"/>
        <v>0</v>
      </c>
      <c r="V226" s="375">
        <f t="shared" si="77"/>
        <v>0</v>
      </c>
      <c r="W226" s="375">
        <f t="shared" si="77"/>
        <v>0</v>
      </c>
      <c r="X226" s="375">
        <f t="shared" si="77"/>
        <v>0</v>
      </c>
      <c r="Y226" s="369"/>
    </row>
    <row r="227" spans="1:26" ht="13.5" thickBo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378</v>
      </c>
      <c r="B228" s="359">
        <f>ROW(A228)</f>
        <v>228</v>
      </c>
      <c r="C228" s="363" t="s">
        <v>116</v>
      </c>
      <c r="D228" s="353">
        <f>SUM(B231:Y231)</f>
        <v>115.63</v>
      </c>
      <c r="E228" s="363" t="s">
        <v>115</v>
      </c>
      <c r="F228" s="354">
        <f>D228/g/J228</f>
        <v>199.77884897804037</v>
      </c>
      <c r="G228" s="363" t="s">
        <v>57</v>
      </c>
      <c r="H228" s="64">
        <v>0.14499999999999999</v>
      </c>
      <c r="I228" s="363" t="s">
        <v>270</v>
      </c>
      <c r="J228" s="355">
        <f>H228-L228</f>
        <v>5.8999999999999997E-2</v>
      </c>
      <c r="K228" s="363" t="s">
        <v>271</v>
      </c>
      <c r="L228" s="64">
        <v>8.5999999999999993E-2</v>
      </c>
      <c r="M228" s="363" t="s">
        <v>58</v>
      </c>
      <c r="N228" s="65">
        <v>71</v>
      </c>
      <c r="O228" s="363" t="s">
        <v>60</v>
      </c>
      <c r="P228" s="65">
        <v>71</v>
      </c>
      <c r="Q228" s="363" t="s">
        <v>61</v>
      </c>
      <c r="R228" s="65">
        <v>142</v>
      </c>
      <c r="S228" s="363" t="s">
        <v>62</v>
      </c>
      <c r="T228" s="65">
        <v>29</v>
      </c>
      <c r="U228" s="363" t="s">
        <v>55</v>
      </c>
      <c r="V228" s="66" t="s">
        <v>400</v>
      </c>
      <c r="W228" s="463" t="s">
        <v>394</v>
      </c>
      <c r="X228" s="465">
        <v>0.93</v>
      </c>
      <c r="Y228" s="463" t="s">
        <v>393</v>
      </c>
      <c r="Z228" s="358">
        <v>13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v>1</v>
      </c>
      <c r="T229" s="371">
        <v>1</v>
      </c>
      <c r="U229" s="371">
        <v>1</v>
      </c>
      <c r="V229" s="371">
        <v>1</v>
      </c>
      <c r="W229" s="371"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6">
        <v>55</v>
      </c>
      <c r="D230" s="376">
        <v>168</v>
      </c>
      <c r="E230" s="376">
        <v>157</v>
      </c>
      <c r="F230" s="376">
        <v>148</v>
      </c>
      <c r="G230" s="376">
        <v>125</v>
      </c>
      <c r="H230" s="376">
        <v>135</v>
      </c>
      <c r="I230" s="376">
        <v>141</v>
      </c>
      <c r="J230" s="376">
        <v>142</v>
      </c>
      <c r="K230" s="376">
        <v>141</v>
      </c>
      <c r="L230" s="376">
        <v>133</v>
      </c>
      <c r="M230" s="376">
        <v>127</v>
      </c>
      <c r="N230" s="376">
        <v>128</v>
      </c>
      <c r="O230" s="376">
        <v>60</v>
      </c>
      <c r="P230" s="376">
        <v>15</v>
      </c>
      <c r="Q230" s="376">
        <v>0</v>
      </c>
      <c r="R230" s="376">
        <v>0</v>
      </c>
      <c r="S230" s="376">
        <v>0</v>
      </c>
      <c r="T230" s="376">
        <v>0</v>
      </c>
      <c r="U230" s="376">
        <v>0</v>
      </c>
      <c r="V230" s="376">
        <v>0</v>
      </c>
      <c r="W230" s="376">
        <v>0</v>
      </c>
      <c r="X230" s="373">
        <v>0</v>
      </c>
      <c r="Y230" s="382">
        <v>0</v>
      </c>
    </row>
    <row r="231" spans="1:26" ht="13.5" thickBot="1" x14ac:dyDescent="0.25">
      <c r="A231" s="379" t="s">
        <v>117</v>
      </c>
      <c r="B231" s="374">
        <f t="shared" ref="B231:X231" si="78">(C230+B230)*(C229-B229)/2</f>
        <v>0.27500000000000002</v>
      </c>
      <c r="C231" s="375">
        <f t="shared" si="78"/>
        <v>1.115</v>
      </c>
      <c r="D231" s="375">
        <f t="shared" si="78"/>
        <v>1.6249999999999998</v>
      </c>
      <c r="E231" s="375">
        <f t="shared" si="78"/>
        <v>1.5250000000000004</v>
      </c>
      <c r="F231" s="375">
        <f t="shared" si="78"/>
        <v>1.3650000000000002</v>
      </c>
      <c r="G231" s="375">
        <f t="shared" si="78"/>
        <v>6.5</v>
      </c>
      <c r="H231" s="375">
        <f t="shared" si="78"/>
        <v>13.8</v>
      </c>
      <c r="I231" s="375">
        <f t="shared" si="78"/>
        <v>14.149999999999997</v>
      </c>
      <c r="J231" s="375">
        <f t="shared" si="78"/>
        <v>14.150000000000004</v>
      </c>
      <c r="K231" s="375">
        <f t="shared" si="78"/>
        <v>27.399999999999995</v>
      </c>
      <c r="L231" s="375">
        <f t="shared" si="78"/>
        <v>19.500000000000004</v>
      </c>
      <c r="M231" s="375">
        <f t="shared" si="78"/>
        <v>7.6500000000000066</v>
      </c>
      <c r="N231" s="375">
        <f t="shared" si="78"/>
        <v>4.699999999999994</v>
      </c>
      <c r="O231" s="375">
        <f t="shared" si="78"/>
        <v>1.5000000000000013</v>
      </c>
      <c r="P231" s="375">
        <f t="shared" si="78"/>
        <v>0.3749999999999995</v>
      </c>
      <c r="Q231" s="375">
        <f t="shared" si="78"/>
        <v>0</v>
      </c>
      <c r="R231" s="375">
        <f t="shared" si="78"/>
        <v>0</v>
      </c>
      <c r="S231" s="375">
        <f t="shared" si="78"/>
        <v>0</v>
      </c>
      <c r="T231" s="375">
        <f t="shared" si="78"/>
        <v>0</v>
      </c>
      <c r="U231" s="375">
        <f t="shared" si="78"/>
        <v>0</v>
      </c>
      <c r="V231" s="375">
        <f t="shared" si="78"/>
        <v>0</v>
      </c>
      <c r="W231" s="375">
        <f t="shared" si="78"/>
        <v>0</v>
      </c>
      <c r="X231" s="375">
        <f t="shared" si="78"/>
        <v>0</v>
      </c>
      <c r="Y231" s="369"/>
    </row>
    <row r="232" spans="1:26" ht="13.5" thickBot="1" x14ac:dyDescent="0.25">
      <c r="A232" s="6" t="s">
        <v>386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387</v>
      </c>
      <c r="B233" s="359">
        <f>ROW(A233)</f>
        <v>233</v>
      </c>
      <c r="C233" s="363" t="s">
        <v>116</v>
      </c>
      <c r="D233" s="353">
        <f>SUM(B236:Y236)</f>
        <v>115.63</v>
      </c>
      <c r="E233" s="363" t="s">
        <v>115</v>
      </c>
      <c r="F233" s="354">
        <f>D233/g/J233</f>
        <v>125.39310733728064</v>
      </c>
      <c r="G233" s="363" t="s">
        <v>57</v>
      </c>
      <c r="H233" s="64">
        <v>0.2</v>
      </c>
      <c r="I233" s="363" t="s">
        <v>270</v>
      </c>
      <c r="J233" s="355">
        <f>H233-L233</f>
        <v>9.4000000000000014E-2</v>
      </c>
      <c r="K233" s="363" t="s">
        <v>271</v>
      </c>
      <c r="L233" s="64">
        <v>0.106</v>
      </c>
      <c r="M233" s="363" t="s">
        <v>58</v>
      </c>
      <c r="N233" s="65">
        <v>93</v>
      </c>
      <c r="O233" s="363" t="s">
        <v>60</v>
      </c>
      <c r="P233" s="65">
        <v>93</v>
      </c>
      <c r="Q233" s="363" t="s">
        <v>61</v>
      </c>
      <c r="R233" s="65">
        <v>187</v>
      </c>
      <c r="S233" s="363" t="s">
        <v>62</v>
      </c>
      <c r="T233" s="65">
        <v>29</v>
      </c>
      <c r="U233" s="363" t="s">
        <v>55</v>
      </c>
      <c r="V233" s="66" t="s">
        <v>120</v>
      </c>
      <c r="W233" s="463" t="s">
        <v>394</v>
      </c>
      <c r="X233" s="465">
        <v>0.96</v>
      </c>
      <c r="Y233" s="463" t="s">
        <v>393</v>
      </c>
      <c r="Z233" s="358">
        <v>14</v>
      </c>
    </row>
    <row r="234" spans="1:26" x14ac:dyDescent="0.2">
      <c r="A234" s="362" t="s">
        <v>33</v>
      </c>
      <c r="B234" s="370">
        <v>0</v>
      </c>
      <c r="C234" s="371">
        <v>0.01</v>
      </c>
      <c r="D234" s="371">
        <v>0.02</v>
      </c>
      <c r="E234" s="371">
        <v>0.03</v>
      </c>
      <c r="F234" s="371">
        <v>0.04</v>
      </c>
      <c r="G234" s="371">
        <v>0.05</v>
      </c>
      <c r="H234" s="371">
        <v>0.1</v>
      </c>
      <c r="I234" s="371">
        <v>0.2</v>
      </c>
      <c r="J234" s="371">
        <v>0.3</v>
      </c>
      <c r="K234" s="371">
        <v>0.4</v>
      </c>
      <c r="L234" s="371">
        <v>0.6</v>
      </c>
      <c r="M234" s="371">
        <v>0.75</v>
      </c>
      <c r="N234" s="371">
        <v>0.81</v>
      </c>
      <c r="O234" s="371">
        <v>0.86</v>
      </c>
      <c r="P234" s="371">
        <v>0.9</v>
      </c>
      <c r="Q234" s="371">
        <v>0.95</v>
      </c>
      <c r="R234" s="371">
        <v>1</v>
      </c>
      <c r="S234" s="371">
        <f t="shared" ref="S234:X235" si="79">R234</f>
        <v>1</v>
      </c>
      <c r="T234" s="371">
        <f t="shared" si="79"/>
        <v>1</v>
      </c>
      <c r="U234" s="371">
        <f t="shared" si="79"/>
        <v>1</v>
      </c>
      <c r="V234" s="371">
        <f t="shared" si="79"/>
        <v>1</v>
      </c>
      <c r="W234" s="371">
        <f t="shared" si="79"/>
        <v>1</v>
      </c>
      <c r="X234" s="371">
        <v>2</v>
      </c>
      <c r="Y234" s="381">
        <v>1000</v>
      </c>
    </row>
    <row r="235" spans="1:26" x14ac:dyDescent="0.2">
      <c r="A235" s="378" t="s">
        <v>34</v>
      </c>
      <c r="B235" s="372">
        <v>0</v>
      </c>
      <c r="C235" s="373">
        <v>55</v>
      </c>
      <c r="D235" s="373">
        <v>168</v>
      </c>
      <c r="E235" s="373">
        <v>157</v>
      </c>
      <c r="F235" s="373">
        <v>148</v>
      </c>
      <c r="G235" s="373">
        <v>125</v>
      </c>
      <c r="H235" s="373">
        <v>135</v>
      </c>
      <c r="I235" s="373">
        <v>141</v>
      </c>
      <c r="J235" s="373">
        <v>142</v>
      </c>
      <c r="K235" s="373">
        <v>141</v>
      </c>
      <c r="L235" s="373">
        <v>133</v>
      </c>
      <c r="M235" s="373">
        <v>127</v>
      </c>
      <c r="N235" s="373">
        <v>128</v>
      </c>
      <c r="O235" s="373">
        <v>60</v>
      </c>
      <c r="P235" s="373">
        <v>15</v>
      </c>
      <c r="Q235" s="373">
        <v>0</v>
      </c>
      <c r="R235" s="373">
        <v>0</v>
      </c>
      <c r="S235" s="373">
        <f t="shared" si="79"/>
        <v>0</v>
      </c>
      <c r="T235" s="373">
        <f t="shared" si="79"/>
        <v>0</v>
      </c>
      <c r="U235" s="373">
        <f t="shared" si="79"/>
        <v>0</v>
      </c>
      <c r="V235" s="373">
        <f t="shared" si="79"/>
        <v>0</v>
      </c>
      <c r="W235" s="373">
        <f t="shared" si="79"/>
        <v>0</v>
      </c>
      <c r="X235" s="373">
        <f t="shared" si="79"/>
        <v>0</v>
      </c>
      <c r="Y235" s="382">
        <v>0</v>
      </c>
    </row>
    <row r="236" spans="1:26" ht="13.5" thickBot="1" x14ac:dyDescent="0.25">
      <c r="A236" s="379" t="s">
        <v>117</v>
      </c>
      <c r="B236" s="374">
        <f t="shared" ref="B236:X236" si="80">(C235+B235)*(C234-B234)/2</f>
        <v>0.27500000000000002</v>
      </c>
      <c r="C236" s="375">
        <f t="shared" si="80"/>
        <v>1.115</v>
      </c>
      <c r="D236" s="375">
        <f t="shared" si="80"/>
        <v>1.6249999999999998</v>
      </c>
      <c r="E236" s="375">
        <f t="shared" si="80"/>
        <v>1.5250000000000004</v>
      </c>
      <c r="F236" s="375">
        <f t="shared" si="80"/>
        <v>1.3650000000000002</v>
      </c>
      <c r="G236" s="375">
        <f t="shared" si="80"/>
        <v>6.5</v>
      </c>
      <c r="H236" s="375">
        <f t="shared" si="80"/>
        <v>13.8</v>
      </c>
      <c r="I236" s="375">
        <f t="shared" si="80"/>
        <v>14.149999999999997</v>
      </c>
      <c r="J236" s="375">
        <f t="shared" si="80"/>
        <v>14.150000000000004</v>
      </c>
      <c r="K236" s="375">
        <f t="shared" si="80"/>
        <v>27.399999999999995</v>
      </c>
      <c r="L236" s="375">
        <f t="shared" si="80"/>
        <v>19.500000000000004</v>
      </c>
      <c r="M236" s="375">
        <f t="shared" si="80"/>
        <v>7.6500000000000066</v>
      </c>
      <c r="N236" s="375">
        <f t="shared" si="80"/>
        <v>4.699999999999994</v>
      </c>
      <c r="O236" s="375">
        <f t="shared" si="80"/>
        <v>1.5000000000000013</v>
      </c>
      <c r="P236" s="375">
        <f t="shared" si="80"/>
        <v>0.3749999999999995</v>
      </c>
      <c r="Q236" s="375">
        <f t="shared" si="80"/>
        <v>0</v>
      </c>
      <c r="R236" s="375">
        <f t="shared" si="80"/>
        <v>0</v>
      </c>
      <c r="S236" s="375">
        <f t="shared" si="80"/>
        <v>0</v>
      </c>
      <c r="T236" s="375">
        <f t="shared" si="80"/>
        <v>0</v>
      </c>
      <c r="U236" s="375">
        <f t="shared" si="80"/>
        <v>0</v>
      </c>
      <c r="V236" s="375">
        <f t="shared" si="80"/>
        <v>0</v>
      </c>
      <c r="W236" s="375">
        <f t="shared" si="80"/>
        <v>0</v>
      </c>
      <c r="X236" s="375">
        <f t="shared" si="80"/>
        <v>0</v>
      </c>
      <c r="Y236" s="369"/>
    </row>
    <row r="237" spans="1:26" ht="13.5" thickBo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392</v>
      </c>
      <c r="B238" s="359">
        <f>ROW(A238)</f>
        <v>238</v>
      </c>
      <c r="C238" s="363" t="s">
        <v>116</v>
      </c>
      <c r="D238" s="353">
        <f>SUM(B241:Y241)</f>
        <v>158.04815100000002</v>
      </c>
      <c r="E238" s="363" t="s">
        <v>115</v>
      </c>
      <c r="F238" s="354">
        <v>198</v>
      </c>
      <c r="G238" s="363" t="s">
        <v>57</v>
      </c>
      <c r="H238" s="64">
        <v>0.19450000000000001</v>
      </c>
      <c r="I238" s="363" t="s">
        <v>270</v>
      </c>
      <c r="J238" s="355">
        <f>H238-L238</f>
        <v>8.9600000000000013E-2</v>
      </c>
      <c r="K238" s="363" t="s">
        <v>271</v>
      </c>
      <c r="L238" s="64">
        <v>0.10489999999999999</v>
      </c>
      <c r="M238" s="363" t="s">
        <v>58</v>
      </c>
      <c r="N238" s="65">
        <v>93</v>
      </c>
      <c r="O238" s="363" t="s">
        <v>60</v>
      </c>
      <c r="P238" s="65">
        <v>93</v>
      </c>
      <c r="Q238" s="363" t="s">
        <v>61</v>
      </c>
      <c r="R238" s="65">
        <v>187</v>
      </c>
      <c r="S238" s="363" t="s">
        <v>62</v>
      </c>
      <c r="T238" s="65">
        <v>29</v>
      </c>
      <c r="U238" s="363" t="s">
        <v>55</v>
      </c>
      <c r="V238" s="66" t="s">
        <v>120</v>
      </c>
      <c r="W238" s="463" t="s">
        <v>394</v>
      </c>
      <c r="X238" s="465">
        <v>1.27</v>
      </c>
      <c r="Y238" s="463" t="s">
        <v>393</v>
      </c>
      <c r="Z238" s="358">
        <v>14</v>
      </c>
    </row>
    <row r="239" spans="1:26" x14ac:dyDescent="0.2">
      <c r="A239" s="362" t="s">
        <v>33</v>
      </c>
      <c r="B239" s="472">
        <v>0</v>
      </c>
      <c r="C239" s="472">
        <v>4.0000000000000001E-3</v>
      </c>
      <c r="D239" s="472">
        <v>2.1999999999999999E-2</v>
      </c>
      <c r="E239" s="472">
        <v>3.9E-2</v>
      </c>
      <c r="F239" s="472">
        <v>0.122</v>
      </c>
      <c r="G239" s="472">
        <v>0.23599999999999999</v>
      </c>
      <c r="H239" s="472">
        <v>0.58899999999999997</v>
      </c>
      <c r="I239" s="472">
        <v>0.80100000000000005</v>
      </c>
      <c r="J239" s="472">
        <v>1.0680000000000001</v>
      </c>
      <c r="K239" s="472">
        <v>1.1180000000000001</v>
      </c>
      <c r="L239" s="472">
        <v>1.145</v>
      </c>
      <c r="M239" s="472">
        <v>1.1739999999999999</v>
      </c>
      <c r="N239" s="472">
        <v>1.2110000000000001</v>
      </c>
      <c r="O239" s="472">
        <v>1.2470000000000001</v>
      </c>
      <c r="P239" s="472">
        <v>1.2989999999999999</v>
      </c>
      <c r="Q239" s="371">
        <v>2</v>
      </c>
      <c r="R239" s="371">
        <v>2</v>
      </c>
      <c r="S239" s="371">
        <f t="shared" ref="S239:X240" si="81">R239</f>
        <v>2</v>
      </c>
      <c r="T239" s="371">
        <f t="shared" si="81"/>
        <v>2</v>
      </c>
      <c r="U239" s="371">
        <f t="shared" si="81"/>
        <v>2</v>
      </c>
      <c r="V239" s="371">
        <f t="shared" si="81"/>
        <v>2</v>
      </c>
      <c r="W239" s="371">
        <f t="shared" si="81"/>
        <v>2</v>
      </c>
      <c r="X239" s="371">
        <f t="shared" si="81"/>
        <v>2</v>
      </c>
      <c r="Y239" s="381">
        <v>1000</v>
      </c>
    </row>
    <row r="240" spans="1:26" x14ac:dyDescent="0.2">
      <c r="A240" s="378" t="s">
        <v>34</v>
      </c>
      <c r="B240" s="472">
        <v>0</v>
      </c>
      <c r="C240" s="472">
        <v>15.683</v>
      </c>
      <c r="D240" s="472">
        <v>170.834</v>
      </c>
      <c r="E240" s="472">
        <v>116.877</v>
      </c>
      <c r="F240" s="472">
        <v>142.642</v>
      </c>
      <c r="G240" s="472">
        <v>149.73699999999999</v>
      </c>
      <c r="H240" s="472">
        <v>142.642</v>
      </c>
      <c r="I240" s="472">
        <v>131.25299999999999</v>
      </c>
      <c r="J240" s="472">
        <v>122.104</v>
      </c>
      <c r="K240" s="472">
        <v>107.91500000000001</v>
      </c>
      <c r="L240" s="472">
        <v>78.415999999999997</v>
      </c>
      <c r="M240" s="472">
        <v>43.128999999999998</v>
      </c>
      <c r="N240" s="472">
        <v>21.471</v>
      </c>
      <c r="O240" s="472">
        <v>8.7750000000000004</v>
      </c>
      <c r="P240" s="472">
        <v>0</v>
      </c>
      <c r="Q240" s="373">
        <v>0</v>
      </c>
      <c r="R240" s="373">
        <v>0</v>
      </c>
      <c r="S240" s="373">
        <f t="shared" si="81"/>
        <v>0</v>
      </c>
      <c r="T240" s="373">
        <f t="shared" si="81"/>
        <v>0</v>
      </c>
      <c r="U240" s="373">
        <f t="shared" si="81"/>
        <v>0</v>
      </c>
      <c r="V240" s="373">
        <f t="shared" si="81"/>
        <v>0</v>
      </c>
      <c r="W240" s="373">
        <f t="shared" si="81"/>
        <v>0</v>
      </c>
      <c r="X240" s="373">
        <f t="shared" si="81"/>
        <v>0</v>
      </c>
      <c r="Y240" s="382">
        <v>0</v>
      </c>
    </row>
    <row r="241" spans="1:26" ht="13.5" thickBot="1" x14ac:dyDescent="0.25">
      <c r="A241" s="379" t="s">
        <v>117</v>
      </c>
      <c r="B241" s="374">
        <f t="shared" ref="B241:X241" si="82">(C240+B240)*(C239-B239)/2</f>
        <v>3.1365999999999998E-2</v>
      </c>
      <c r="C241" s="375">
        <f t="shared" si="82"/>
        <v>1.6786529999999997</v>
      </c>
      <c r="D241" s="375">
        <f t="shared" si="82"/>
        <v>2.4455435000000003</v>
      </c>
      <c r="E241" s="375">
        <f t="shared" si="82"/>
        <v>10.770038499999998</v>
      </c>
      <c r="F241" s="375">
        <f t="shared" si="82"/>
        <v>16.665603000000001</v>
      </c>
      <c r="G241" s="375">
        <f t="shared" si="82"/>
        <v>51.604893500000003</v>
      </c>
      <c r="H241" s="375">
        <f t="shared" si="82"/>
        <v>29.03287000000001</v>
      </c>
      <c r="I241" s="375">
        <f t="shared" si="82"/>
        <v>33.823159499999996</v>
      </c>
      <c r="J241" s="375">
        <f t="shared" si="82"/>
        <v>5.7504750000000051</v>
      </c>
      <c r="K241" s="375">
        <f t="shared" si="82"/>
        <v>2.5154684999999923</v>
      </c>
      <c r="L241" s="375">
        <f t="shared" si="82"/>
        <v>1.7624024999999945</v>
      </c>
      <c r="M241" s="375">
        <f t="shared" si="82"/>
        <v>1.1951000000000045</v>
      </c>
      <c r="N241" s="375">
        <f t="shared" si="82"/>
        <v>0.54442800000000058</v>
      </c>
      <c r="O241" s="375">
        <f t="shared" si="82"/>
        <v>0.22814999999999924</v>
      </c>
      <c r="P241" s="375">
        <f t="shared" si="82"/>
        <v>0</v>
      </c>
      <c r="Q241" s="375">
        <f t="shared" si="82"/>
        <v>0</v>
      </c>
      <c r="R241" s="375">
        <f t="shared" si="82"/>
        <v>0</v>
      </c>
      <c r="S241" s="375">
        <f t="shared" si="82"/>
        <v>0</v>
      </c>
      <c r="T241" s="375">
        <f t="shared" si="82"/>
        <v>0</v>
      </c>
      <c r="U241" s="375">
        <f t="shared" si="82"/>
        <v>0</v>
      </c>
      <c r="V241" s="375">
        <f t="shared" si="82"/>
        <v>0</v>
      </c>
      <c r="W241" s="375">
        <f t="shared" si="82"/>
        <v>0</v>
      </c>
      <c r="X241" s="375">
        <f t="shared" si="82"/>
        <v>0</v>
      </c>
      <c r="Y241" s="369"/>
    </row>
    <row r="242" spans="1:26" ht="13.5" thickBot="1" x14ac:dyDescent="0.25">
      <c r="A242" s="6" t="s">
        <v>374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379</v>
      </c>
      <c r="B243" s="359">
        <f>ROW(A243)</f>
        <v>243</v>
      </c>
      <c r="C243" s="363" t="s">
        <v>116</v>
      </c>
      <c r="D243" s="353">
        <f>SUM(B246:Y246)</f>
        <v>136.75235000000001</v>
      </c>
      <c r="E243" s="363" t="s">
        <v>115</v>
      </c>
      <c r="F243" s="354">
        <f>D243/g/J243</f>
        <v>152.35078513616639</v>
      </c>
      <c r="G243" s="363" t="s">
        <v>57</v>
      </c>
      <c r="H243" s="64">
        <v>0.21249999999999999</v>
      </c>
      <c r="I243" s="363" t="s">
        <v>270</v>
      </c>
      <c r="J243" s="355">
        <f>H243-L243</f>
        <v>9.1499999999999998E-2</v>
      </c>
      <c r="K243" s="363" t="s">
        <v>271</v>
      </c>
      <c r="L243" s="64">
        <v>0.121</v>
      </c>
      <c r="M243" s="363" t="s">
        <v>58</v>
      </c>
      <c r="N243" s="65">
        <v>63</v>
      </c>
      <c r="O243" s="363" t="s">
        <v>60</v>
      </c>
      <c r="P243" s="65">
        <v>114</v>
      </c>
      <c r="Q243" s="363" t="s">
        <v>61</v>
      </c>
      <c r="R243" s="65">
        <v>127</v>
      </c>
      <c r="S243" s="363" t="s">
        <v>62</v>
      </c>
      <c r="T243" s="65">
        <v>38</v>
      </c>
      <c r="U243" s="363" t="s">
        <v>55</v>
      </c>
      <c r="V243" s="66" t="s">
        <v>120</v>
      </c>
      <c r="W243" s="463" t="s">
        <v>394</v>
      </c>
      <c r="X243" s="465">
        <v>2.36</v>
      </c>
      <c r="Y243" s="463" t="s">
        <v>393</v>
      </c>
      <c r="Z243" s="358">
        <v>13</v>
      </c>
    </row>
    <row r="244" spans="1:26" x14ac:dyDescent="0.2">
      <c r="A244" s="362" t="s">
        <v>33</v>
      </c>
      <c r="B244" s="370">
        <v>0</v>
      </c>
      <c r="C244" s="371">
        <v>2.9000000000000001E-2</v>
      </c>
      <c r="D244" s="371">
        <v>4.5999999999999999E-2</v>
      </c>
      <c r="E244" s="371">
        <v>5.8000000000000003E-2</v>
      </c>
      <c r="F244" s="371">
        <v>8.4000000000000005E-2</v>
      </c>
      <c r="G244" s="371">
        <v>0.17100000000000001</v>
      </c>
      <c r="H244" s="371">
        <v>0.28000000000000003</v>
      </c>
      <c r="I244" s="371">
        <v>0.45500000000000002</v>
      </c>
      <c r="J244" s="371">
        <v>0.58599999999999997</v>
      </c>
      <c r="K244" s="371">
        <v>0.74099999999999999</v>
      </c>
      <c r="L244" s="371">
        <v>0.95199999999999996</v>
      </c>
      <c r="M244" s="371">
        <v>1.2170000000000001</v>
      </c>
      <c r="N244" s="371">
        <v>1.43</v>
      </c>
      <c r="O244" s="371">
        <v>1.6259999999999999</v>
      </c>
      <c r="P244" s="371">
        <v>1.8069999999999999</v>
      </c>
      <c r="Q244" s="371">
        <v>1.9590000000000001</v>
      </c>
      <c r="R244" s="371">
        <v>2.1040000000000001</v>
      </c>
      <c r="S244" s="371">
        <v>2.1680000000000001</v>
      </c>
      <c r="T244" s="371">
        <v>2.21</v>
      </c>
      <c r="U244" s="371">
        <v>2.2469999999999999</v>
      </c>
      <c r="V244" s="371">
        <v>2.3290000000000002</v>
      </c>
      <c r="W244" s="371">
        <f>2.4</f>
        <v>2.4</v>
      </c>
      <c r="X244" s="371">
        <f>W244</f>
        <v>2.4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90.25</v>
      </c>
      <c r="D245" s="373">
        <v>69.17</v>
      </c>
      <c r="E245" s="373">
        <v>59.947000000000003</v>
      </c>
      <c r="F245" s="373">
        <v>47.167000000000002</v>
      </c>
      <c r="G245" s="373">
        <v>57.970999999999997</v>
      </c>
      <c r="H245" s="373">
        <v>59.552</v>
      </c>
      <c r="I245" s="373">
        <v>61.265000000000001</v>
      </c>
      <c r="J245" s="373">
        <v>61.66</v>
      </c>
      <c r="K245" s="373">
        <v>62.319000000000003</v>
      </c>
      <c r="L245" s="373">
        <v>63.768000000000001</v>
      </c>
      <c r="M245" s="373">
        <v>64.69</v>
      </c>
      <c r="N245" s="373">
        <v>63.768000000000001</v>
      </c>
      <c r="O245" s="373">
        <v>61.265000000000001</v>
      </c>
      <c r="P245" s="373">
        <v>58.103000000000002</v>
      </c>
      <c r="Q245" s="373">
        <v>53.887</v>
      </c>
      <c r="R245" s="373">
        <v>48.353000000000002</v>
      </c>
      <c r="S245" s="373">
        <v>47.563000000000002</v>
      </c>
      <c r="T245" s="373">
        <v>44.005000000000003</v>
      </c>
      <c r="U245" s="373">
        <v>37.286000000000001</v>
      </c>
      <c r="V245" s="373">
        <v>22.265999999999998</v>
      </c>
      <c r="W245" s="373">
        <v>0</v>
      </c>
      <c r="X245" s="373">
        <f>W245</f>
        <v>0</v>
      </c>
      <c r="Y245" s="382">
        <v>0</v>
      </c>
    </row>
    <row r="246" spans="1:26" ht="13.5" thickBot="1" x14ac:dyDescent="0.25">
      <c r="A246" s="379" t="s">
        <v>117</v>
      </c>
      <c r="B246" s="374">
        <f t="shared" ref="B246:X246" si="83">(C245+B245)*(C244-B244)/2</f>
        <v>1.3086250000000001</v>
      </c>
      <c r="C246" s="375">
        <f t="shared" si="83"/>
        <v>1.35507</v>
      </c>
      <c r="D246" s="375">
        <f t="shared" si="83"/>
        <v>0.77470200000000033</v>
      </c>
      <c r="E246" s="375">
        <f t="shared" si="83"/>
        <v>1.3924820000000002</v>
      </c>
      <c r="F246" s="375">
        <f t="shared" si="83"/>
        <v>4.5735030000000005</v>
      </c>
      <c r="G246" s="375">
        <f t="shared" si="83"/>
        <v>6.4050035000000003</v>
      </c>
      <c r="H246" s="375">
        <f t="shared" si="83"/>
        <v>10.5714875</v>
      </c>
      <c r="I246" s="375">
        <f t="shared" si="83"/>
        <v>8.0515874999999966</v>
      </c>
      <c r="J246" s="375">
        <f t="shared" si="83"/>
        <v>9.6083725000000015</v>
      </c>
      <c r="K246" s="375">
        <f t="shared" si="83"/>
        <v>13.302178499999998</v>
      </c>
      <c r="L246" s="375">
        <f t="shared" si="83"/>
        <v>17.020685000000007</v>
      </c>
      <c r="M246" s="375">
        <f t="shared" si="83"/>
        <v>13.68077699999999</v>
      </c>
      <c r="N246" s="375">
        <f t="shared" si="83"/>
        <v>12.253233999999997</v>
      </c>
      <c r="O246" s="375">
        <f t="shared" si="83"/>
        <v>10.802804000000002</v>
      </c>
      <c r="P246" s="375">
        <f t="shared" si="83"/>
        <v>8.5112400000000079</v>
      </c>
      <c r="Q246" s="375">
        <f t="shared" si="83"/>
        <v>7.4124000000000017</v>
      </c>
      <c r="R246" s="375">
        <f t="shared" si="83"/>
        <v>3.0693120000000027</v>
      </c>
      <c r="S246" s="375">
        <f t="shared" si="83"/>
        <v>1.9229279999999918</v>
      </c>
      <c r="T246" s="375">
        <f t="shared" si="83"/>
        <v>1.5038834999999968</v>
      </c>
      <c r="U246" s="375">
        <f t="shared" si="83"/>
        <v>2.4416320000000087</v>
      </c>
      <c r="V246" s="375">
        <f t="shared" si="83"/>
        <v>0.7904429999999969</v>
      </c>
      <c r="W246" s="375">
        <f t="shared" si="83"/>
        <v>0</v>
      </c>
      <c r="X246" s="375">
        <f t="shared" si="83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380</v>
      </c>
      <c r="B248" s="359">
        <f>ROW(A248)</f>
        <v>248</v>
      </c>
      <c r="C248" s="363" t="s">
        <v>116</v>
      </c>
      <c r="D248" s="353">
        <f>SUM(B251:Y251)</f>
        <v>127.06944999999999</v>
      </c>
      <c r="E248" s="363" t="s">
        <v>115</v>
      </c>
      <c r="F248" s="354">
        <f>D248/g/J248</f>
        <v>180.65624835614466</v>
      </c>
      <c r="G248" s="363" t="s">
        <v>57</v>
      </c>
      <c r="H248" s="64">
        <v>0.18840000000000001</v>
      </c>
      <c r="I248" s="363" t="s">
        <v>270</v>
      </c>
      <c r="J248" s="355">
        <f>H248-L248</f>
        <v>7.1700000000000014E-2</v>
      </c>
      <c r="K248" s="363" t="s">
        <v>271</v>
      </c>
      <c r="L248" s="64">
        <v>0.1167</v>
      </c>
      <c r="M248" s="363" t="s">
        <v>58</v>
      </c>
      <c r="N248" s="65">
        <v>63</v>
      </c>
      <c r="O248" s="363" t="s">
        <v>60</v>
      </c>
      <c r="P248" s="65">
        <v>114</v>
      </c>
      <c r="Q248" s="363" t="s">
        <v>61</v>
      </c>
      <c r="R248" s="65">
        <v>127</v>
      </c>
      <c r="S248" s="363" t="s">
        <v>62</v>
      </c>
      <c r="T248" s="65">
        <v>38</v>
      </c>
      <c r="U248" s="363" t="s">
        <v>55</v>
      </c>
      <c r="V248" s="66" t="s">
        <v>120</v>
      </c>
      <c r="W248" s="463" t="s">
        <v>394</v>
      </c>
      <c r="X248" s="465">
        <v>0.69</v>
      </c>
      <c r="Y248" s="463" t="s">
        <v>393</v>
      </c>
      <c r="Z248" s="358">
        <v>12</v>
      </c>
    </row>
    <row r="249" spans="1:26" x14ac:dyDescent="0.2">
      <c r="A249" s="362" t="s">
        <v>33</v>
      </c>
      <c r="B249" s="370">
        <v>0</v>
      </c>
      <c r="C249" s="371">
        <v>0.01</v>
      </c>
      <c r="D249" s="371">
        <v>0.02</v>
      </c>
      <c r="E249" s="371">
        <v>0.05</v>
      </c>
      <c r="F249" s="371">
        <v>0.1</v>
      </c>
      <c r="G249" s="371">
        <v>0.2</v>
      </c>
      <c r="H249" s="371">
        <v>0.3</v>
      </c>
      <c r="I249" s="371">
        <v>0.35</v>
      </c>
      <c r="J249" s="371">
        <v>0.4</v>
      </c>
      <c r="K249" s="371">
        <v>0.45</v>
      </c>
      <c r="L249" s="371">
        <v>0.5</v>
      </c>
      <c r="M249" s="371">
        <v>0.55000000000000004</v>
      </c>
      <c r="N249" s="371">
        <v>0.6</v>
      </c>
      <c r="O249" s="371">
        <v>0.61</v>
      </c>
      <c r="P249" s="371">
        <v>0.63</v>
      </c>
      <c r="Q249" s="371">
        <v>0.64</v>
      </c>
      <c r="R249" s="371">
        <v>0.65</v>
      </c>
      <c r="S249" s="371">
        <v>0.67</v>
      </c>
      <c r="T249" s="371">
        <v>0.68</v>
      </c>
      <c r="U249" s="371">
        <v>0.69</v>
      </c>
      <c r="V249" s="371">
        <f t="shared" ref="V249:X250" si="84">U249</f>
        <v>0.69</v>
      </c>
      <c r="W249" s="371">
        <f t="shared" si="84"/>
        <v>0.69</v>
      </c>
      <c r="X249" s="371"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3">
        <v>108.72</v>
      </c>
      <c r="D250" s="373">
        <v>131.19</v>
      </c>
      <c r="E250" s="373">
        <v>153.13999999999999</v>
      </c>
      <c r="F250" s="373">
        <v>168.97</v>
      </c>
      <c r="G250" s="373">
        <v>189.92</v>
      </c>
      <c r="H250" s="373">
        <v>199.95</v>
      </c>
      <c r="I250" s="373">
        <v>203.59</v>
      </c>
      <c r="J250" s="373">
        <v>205.03</v>
      </c>
      <c r="K250" s="373">
        <v>202.6</v>
      </c>
      <c r="L250" s="373">
        <v>203.06</v>
      </c>
      <c r="M250" s="373">
        <v>199.34</v>
      </c>
      <c r="N250" s="373">
        <v>194.71</v>
      </c>
      <c r="O250" s="373">
        <v>194.1</v>
      </c>
      <c r="P250" s="373">
        <v>193.49</v>
      </c>
      <c r="Q250" s="373">
        <v>193.68</v>
      </c>
      <c r="R250" s="373">
        <v>202.91</v>
      </c>
      <c r="S250" s="373">
        <v>163.38999999999999</v>
      </c>
      <c r="T250" s="373">
        <v>80.44</v>
      </c>
      <c r="U250" s="373">
        <v>0</v>
      </c>
      <c r="V250" s="373">
        <f t="shared" si="84"/>
        <v>0</v>
      </c>
      <c r="W250" s="373">
        <f t="shared" si="84"/>
        <v>0</v>
      </c>
      <c r="X250" s="373">
        <f t="shared" si="84"/>
        <v>0</v>
      </c>
      <c r="Y250" s="382">
        <v>0</v>
      </c>
    </row>
    <row r="251" spans="1:26" ht="13.5" thickBot="1" x14ac:dyDescent="0.25">
      <c r="A251" s="379" t="s">
        <v>117</v>
      </c>
      <c r="B251" s="374">
        <f t="shared" ref="B251:X251" si="85">(C250+B250)*(C249-B249)/2</f>
        <v>0.54359999999999997</v>
      </c>
      <c r="C251" s="375">
        <f t="shared" si="85"/>
        <v>1.1995500000000001</v>
      </c>
      <c r="D251" s="375">
        <f t="shared" si="85"/>
        <v>4.2649499999999998</v>
      </c>
      <c r="E251" s="375">
        <f t="shared" si="85"/>
        <v>8.0527500000000014</v>
      </c>
      <c r="F251" s="375">
        <f t="shared" si="85"/>
        <v>17.944500000000001</v>
      </c>
      <c r="G251" s="375">
        <f t="shared" si="85"/>
        <v>19.493499999999997</v>
      </c>
      <c r="H251" s="375">
        <f t="shared" si="85"/>
        <v>10.088499999999996</v>
      </c>
      <c r="I251" s="375">
        <f t="shared" si="85"/>
        <v>10.215500000000009</v>
      </c>
      <c r="J251" s="375">
        <f t="shared" si="85"/>
        <v>10.190749999999998</v>
      </c>
      <c r="K251" s="375">
        <f t="shared" si="85"/>
        <v>10.141499999999997</v>
      </c>
      <c r="L251" s="375">
        <f t="shared" si="85"/>
        <v>10.060000000000008</v>
      </c>
      <c r="M251" s="375">
        <f t="shared" si="85"/>
        <v>9.8512499999999878</v>
      </c>
      <c r="N251" s="375">
        <f t="shared" si="85"/>
        <v>1.9440500000000018</v>
      </c>
      <c r="O251" s="375">
        <f t="shared" si="85"/>
        <v>3.8759000000000037</v>
      </c>
      <c r="P251" s="375">
        <f t="shared" si="85"/>
        <v>1.9358500000000018</v>
      </c>
      <c r="Q251" s="375">
        <f t="shared" si="85"/>
        <v>1.982950000000002</v>
      </c>
      <c r="R251" s="375">
        <f t="shared" si="85"/>
        <v>3.6630000000000029</v>
      </c>
      <c r="S251" s="375">
        <f t="shared" si="85"/>
        <v>1.2191500000000011</v>
      </c>
      <c r="T251" s="375">
        <f t="shared" si="85"/>
        <v>0.40219999999999589</v>
      </c>
      <c r="U251" s="375">
        <f t="shared" si="85"/>
        <v>0</v>
      </c>
      <c r="V251" s="375">
        <f t="shared" si="85"/>
        <v>0</v>
      </c>
      <c r="W251" s="375">
        <f t="shared" si="85"/>
        <v>0</v>
      </c>
      <c r="X251" s="375">
        <f t="shared" si="85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388</v>
      </c>
      <c r="B253" s="359">
        <f>ROW(A253)</f>
        <v>253</v>
      </c>
      <c r="C253" s="363" t="s">
        <v>116</v>
      </c>
      <c r="D253" s="353">
        <f>SUM(B256:Y256)</f>
        <v>142.7236025</v>
      </c>
      <c r="E253" s="363" t="s">
        <v>115</v>
      </c>
      <c r="F253" s="354">
        <v>208</v>
      </c>
      <c r="G253" s="363" t="s">
        <v>57</v>
      </c>
      <c r="H253" s="64">
        <v>0.19700000000000001</v>
      </c>
      <c r="I253" s="363" t="s">
        <v>270</v>
      </c>
      <c r="J253" s="355">
        <f>H253-L253</f>
        <v>7.0000000000000007E-2</v>
      </c>
      <c r="K253" s="363" t="s">
        <v>271</v>
      </c>
      <c r="L253" s="64">
        <v>0.127</v>
      </c>
      <c r="M253" s="363" t="s">
        <v>58</v>
      </c>
      <c r="N253" s="65">
        <v>63</v>
      </c>
      <c r="O253" s="363" t="s">
        <v>60</v>
      </c>
      <c r="P253" s="65">
        <v>114</v>
      </c>
      <c r="Q253" s="363" t="s">
        <v>61</v>
      </c>
      <c r="R253" s="65">
        <v>127</v>
      </c>
      <c r="S253" s="363" t="s">
        <v>62</v>
      </c>
      <c r="T253" s="65">
        <v>38</v>
      </c>
      <c r="U253" s="363" t="s">
        <v>55</v>
      </c>
      <c r="V253" s="66" t="s">
        <v>120</v>
      </c>
      <c r="W253" s="463" t="s">
        <v>394</v>
      </c>
      <c r="X253" s="465">
        <v>1.8</v>
      </c>
      <c r="Y253" s="463" t="s">
        <v>393</v>
      </c>
      <c r="Z253" s="358">
        <v>15</v>
      </c>
    </row>
    <row r="254" spans="1:26" x14ac:dyDescent="0.2">
      <c r="A254" s="362" t="s">
        <v>33</v>
      </c>
      <c r="B254" s="370">
        <v>0</v>
      </c>
      <c r="C254" s="370">
        <v>6.0000000000000001E-3</v>
      </c>
      <c r="D254" s="371">
        <v>1.7999999999999999E-2</v>
      </c>
      <c r="E254" s="371">
        <v>3.5999999999999997E-2</v>
      </c>
      <c r="F254" s="371">
        <v>4.7E-2</v>
      </c>
      <c r="G254" s="371">
        <v>8.4000000000000005E-2</v>
      </c>
      <c r="H254" s="371">
        <v>0.13500000000000001</v>
      </c>
      <c r="I254" s="371">
        <v>0.23799999999999999</v>
      </c>
      <c r="J254" s="371">
        <v>0.438</v>
      </c>
      <c r="K254" s="371">
        <v>0.63</v>
      </c>
      <c r="L254" s="371">
        <v>0.85899999999999999</v>
      </c>
      <c r="M254" s="371">
        <v>1.2829999999999999</v>
      </c>
      <c r="N254" s="371">
        <v>1.4470000000000001</v>
      </c>
      <c r="O254" s="371">
        <v>1.643</v>
      </c>
      <c r="P254" s="371">
        <v>1.7130000000000001</v>
      </c>
      <c r="Q254" s="371">
        <v>1.7430000000000001</v>
      </c>
      <c r="R254" s="371">
        <v>1.79</v>
      </c>
      <c r="S254" s="371">
        <v>1.8180000000000001</v>
      </c>
      <c r="T254" s="371">
        <v>1.8520000000000001</v>
      </c>
      <c r="U254" s="371">
        <v>2</v>
      </c>
      <c r="V254" s="371">
        <f t="shared" ref="V254:X255" si="86">U254</f>
        <v>2</v>
      </c>
      <c r="W254" s="371">
        <f t="shared" si="86"/>
        <v>2</v>
      </c>
      <c r="X254" s="371">
        <f t="shared" si="86"/>
        <v>2</v>
      </c>
      <c r="Y254" s="381">
        <v>1000</v>
      </c>
    </row>
    <row r="255" spans="1:26" x14ac:dyDescent="0.2">
      <c r="A255" s="378" t="s">
        <v>34</v>
      </c>
      <c r="B255" s="372">
        <v>0</v>
      </c>
      <c r="C255" s="372">
        <v>104.068</v>
      </c>
      <c r="D255" s="373">
        <v>137.928</v>
      </c>
      <c r="E255" s="373">
        <v>70.706999999999994</v>
      </c>
      <c r="F255" s="373">
        <v>62.241999999999997</v>
      </c>
      <c r="G255" s="373">
        <v>73.694000000000003</v>
      </c>
      <c r="H255" s="373">
        <v>78.176000000000002</v>
      </c>
      <c r="I255" s="373">
        <v>84.150999999999996</v>
      </c>
      <c r="J255" s="373">
        <v>89.628</v>
      </c>
      <c r="K255" s="373">
        <v>88.135000000000005</v>
      </c>
      <c r="L255" s="373">
        <v>87.138999999999996</v>
      </c>
      <c r="M255" s="373">
        <v>77.180000000000007</v>
      </c>
      <c r="N255" s="373">
        <v>70.706999999999994</v>
      </c>
      <c r="O255" s="373">
        <v>67.718999999999994</v>
      </c>
      <c r="P255" s="373">
        <v>64.233999999999995</v>
      </c>
      <c r="Q255" s="373">
        <v>54.274999999999999</v>
      </c>
      <c r="R255" s="373">
        <v>18.423999999999999</v>
      </c>
      <c r="S255" s="373">
        <v>6.4729999999999999</v>
      </c>
      <c r="T255" s="373">
        <v>0</v>
      </c>
      <c r="U255" s="373">
        <v>0</v>
      </c>
      <c r="V255" s="373">
        <f t="shared" si="86"/>
        <v>0</v>
      </c>
      <c r="W255" s="373">
        <f t="shared" si="86"/>
        <v>0</v>
      </c>
      <c r="X255" s="373">
        <f t="shared" si="86"/>
        <v>0</v>
      </c>
      <c r="Y255" s="382">
        <v>0</v>
      </c>
    </row>
    <row r="256" spans="1:26" ht="13.5" thickBot="1" x14ac:dyDescent="0.25">
      <c r="A256" s="379" t="s">
        <v>117</v>
      </c>
      <c r="B256" s="374">
        <f t="shared" ref="B256:X256" si="87">(C255+B255)*(C254-B254)/2</f>
        <v>0.31220399999999998</v>
      </c>
      <c r="C256" s="375">
        <f t="shared" si="87"/>
        <v>1.4519759999999997</v>
      </c>
      <c r="D256" s="375">
        <f t="shared" si="87"/>
        <v>1.8777149999999998</v>
      </c>
      <c r="E256" s="375">
        <f t="shared" si="87"/>
        <v>0.73121950000000013</v>
      </c>
      <c r="F256" s="375">
        <f t="shared" si="87"/>
        <v>2.5148160000000006</v>
      </c>
      <c r="G256" s="375">
        <f t="shared" si="87"/>
        <v>3.8726850000000006</v>
      </c>
      <c r="H256" s="375">
        <f t="shared" si="87"/>
        <v>8.3598404999999989</v>
      </c>
      <c r="I256" s="375">
        <f t="shared" si="87"/>
        <v>17.3779</v>
      </c>
      <c r="J256" s="375">
        <f t="shared" si="87"/>
        <v>17.065248</v>
      </c>
      <c r="K256" s="375">
        <f t="shared" si="87"/>
        <v>20.068873</v>
      </c>
      <c r="L256" s="375">
        <f t="shared" si="87"/>
        <v>34.835628</v>
      </c>
      <c r="M256" s="375">
        <f t="shared" si="87"/>
        <v>12.126734000000011</v>
      </c>
      <c r="N256" s="375">
        <f t="shared" si="87"/>
        <v>13.565747999999996</v>
      </c>
      <c r="O256" s="375">
        <f t="shared" si="87"/>
        <v>4.6183550000000029</v>
      </c>
      <c r="P256" s="375">
        <f t="shared" si="87"/>
        <v>1.7776350000000014</v>
      </c>
      <c r="Q256" s="375">
        <f t="shared" si="87"/>
        <v>1.7084264999999974</v>
      </c>
      <c r="R256" s="375">
        <f t="shared" si="87"/>
        <v>0.34855800000000031</v>
      </c>
      <c r="S256" s="375">
        <f t="shared" si="87"/>
        <v>0.1100410000000001</v>
      </c>
      <c r="T256" s="375">
        <f t="shared" si="87"/>
        <v>0</v>
      </c>
      <c r="U256" s="375">
        <f t="shared" si="87"/>
        <v>0</v>
      </c>
      <c r="V256" s="375">
        <f t="shared" si="87"/>
        <v>0</v>
      </c>
      <c r="W256" s="375">
        <f t="shared" si="87"/>
        <v>0</v>
      </c>
      <c r="X256" s="375">
        <f t="shared" si="87"/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273</v>
      </c>
      <c r="B258" s="360">
        <f>ROW(A258)</f>
        <v>258</v>
      </c>
      <c r="C258" s="363" t="s">
        <v>116</v>
      </c>
      <c r="D258" s="353">
        <f>SUM(B261:Y261)</f>
        <v>33.500000000000007</v>
      </c>
      <c r="E258" s="363" t="s">
        <v>115</v>
      </c>
      <c r="F258" s="354">
        <f>D258/g/J258</f>
        <v>68.297655453618759</v>
      </c>
      <c r="G258" s="363" t="s">
        <v>57</v>
      </c>
      <c r="H258" s="64">
        <v>8.5000000000000006E-2</v>
      </c>
      <c r="I258" s="363" t="s">
        <v>270</v>
      </c>
      <c r="J258" s="355">
        <f>H258-L258</f>
        <v>0.05</v>
      </c>
      <c r="K258" s="363" t="s">
        <v>271</v>
      </c>
      <c r="L258" s="64">
        <v>3.5000000000000003E-2</v>
      </c>
      <c r="M258" s="363" t="s">
        <v>58</v>
      </c>
      <c r="N258" s="65">
        <v>20</v>
      </c>
      <c r="O258" s="363" t="s">
        <v>60</v>
      </c>
      <c r="P258" s="65">
        <v>20</v>
      </c>
      <c r="Q258" s="363" t="s">
        <v>61</v>
      </c>
      <c r="R258" s="65">
        <v>39</v>
      </c>
      <c r="S258" s="363" t="s">
        <v>62</v>
      </c>
      <c r="T258" s="65">
        <v>39</v>
      </c>
      <c r="U258" s="363" t="s">
        <v>55</v>
      </c>
      <c r="V258" s="66" t="s">
        <v>401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0.05</v>
      </c>
      <c r="D259" s="371">
        <v>0.1</v>
      </c>
      <c r="E259" s="371">
        <v>0.25</v>
      </c>
      <c r="F259" s="371">
        <v>0.3</v>
      </c>
      <c r="G259" s="371">
        <v>0.35</v>
      </c>
      <c r="H259" s="371">
        <v>0.45</v>
      </c>
      <c r="I259" s="371">
        <v>0.55000000000000004</v>
      </c>
      <c r="J259" s="371">
        <v>3.5</v>
      </c>
      <c r="K259" s="371">
        <v>3.6</v>
      </c>
      <c r="L259" s="371">
        <v>3.6</v>
      </c>
      <c r="M259" s="371">
        <v>3.6</v>
      </c>
      <c r="N259" s="371">
        <v>3.6</v>
      </c>
      <c r="O259" s="371">
        <v>3.6</v>
      </c>
      <c r="P259" s="371">
        <v>3.6</v>
      </c>
      <c r="Q259" s="371">
        <v>3.6</v>
      </c>
      <c r="R259" s="371">
        <v>3.6</v>
      </c>
      <c r="S259" s="371">
        <v>3.6</v>
      </c>
      <c r="T259" s="371">
        <v>3.6</v>
      </c>
      <c r="U259" s="371">
        <v>3.6</v>
      </c>
      <c r="V259" s="371">
        <v>3.6</v>
      </c>
      <c r="W259" s="371">
        <v>3.6</v>
      </c>
      <c r="X259" s="371">
        <v>3.6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68</v>
      </c>
      <c r="D260" s="373">
        <v>62</v>
      </c>
      <c r="E260" s="373">
        <v>60</v>
      </c>
      <c r="F260" s="373">
        <v>39</v>
      </c>
      <c r="G260" s="373">
        <v>38</v>
      </c>
      <c r="H260" s="373">
        <v>9</v>
      </c>
      <c r="I260" s="373">
        <v>5</v>
      </c>
      <c r="J260" s="373">
        <v>3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117</v>
      </c>
      <c r="B261" s="374">
        <f t="shared" ref="B261:V261" si="88">(C260+B260)*(C259-B259)/2</f>
        <v>1.7000000000000002</v>
      </c>
      <c r="C261" s="375">
        <f t="shared" si="88"/>
        <v>3.25</v>
      </c>
      <c r="D261" s="375">
        <f t="shared" si="88"/>
        <v>9.15</v>
      </c>
      <c r="E261" s="375">
        <f t="shared" si="88"/>
        <v>2.4749999999999996</v>
      </c>
      <c r="F261" s="375">
        <f t="shared" si="88"/>
        <v>1.9249999999999996</v>
      </c>
      <c r="G261" s="375">
        <f t="shared" si="88"/>
        <v>2.350000000000001</v>
      </c>
      <c r="H261" s="375">
        <f t="shared" si="88"/>
        <v>0.70000000000000018</v>
      </c>
      <c r="I261" s="375">
        <f t="shared" si="88"/>
        <v>11.8</v>
      </c>
      <c r="J261" s="375">
        <f t="shared" si="88"/>
        <v>0.15000000000000013</v>
      </c>
      <c r="K261" s="375">
        <f t="shared" si="88"/>
        <v>0</v>
      </c>
      <c r="L261" s="375">
        <f t="shared" si="88"/>
        <v>0</v>
      </c>
      <c r="M261" s="375">
        <f t="shared" si="88"/>
        <v>0</v>
      </c>
      <c r="N261" s="375">
        <f t="shared" si="88"/>
        <v>0</v>
      </c>
      <c r="O261" s="375">
        <f t="shared" si="88"/>
        <v>0</v>
      </c>
      <c r="P261" s="375">
        <f t="shared" si="88"/>
        <v>0</v>
      </c>
      <c r="Q261" s="375">
        <f t="shared" si="88"/>
        <v>0</v>
      </c>
      <c r="R261" s="375">
        <f t="shared" si="88"/>
        <v>0</v>
      </c>
      <c r="S261" s="375">
        <f t="shared" si="88"/>
        <v>0</v>
      </c>
      <c r="T261" s="375">
        <f t="shared" si="88"/>
        <v>0</v>
      </c>
      <c r="U261" s="375">
        <f t="shared" si="88"/>
        <v>0</v>
      </c>
      <c r="V261" s="375">
        <f t="shared" si="88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ht="13.5" thickBo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361" t="s">
        <v>274</v>
      </c>
      <c r="B263" s="359">
        <f>ROW(A263)</f>
        <v>263</v>
      </c>
      <c r="C263" s="363" t="s">
        <v>116</v>
      </c>
      <c r="D263" s="353">
        <f>SUM(B266:Y266)</f>
        <v>145.46</v>
      </c>
      <c r="E263" s="363" t="s">
        <v>115</v>
      </c>
      <c r="F263" s="354">
        <f>D263/g/J263</f>
        <v>211.82466870540264</v>
      </c>
      <c r="G263" s="363" t="s">
        <v>57</v>
      </c>
      <c r="H263" s="64">
        <v>0.22</v>
      </c>
      <c r="I263" s="363" t="s">
        <v>270</v>
      </c>
      <c r="J263" s="355">
        <f>H263-L263</f>
        <v>7.0000000000000007E-2</v>
      </c>
      <c r="K263" s="363" t="s">
        <v>271</v>
      </c>
      <c r="L263" s="64">
        <v>0.15</v>
      </c>
      <c r="M263" s="363" t="s">
        <v>58</v>
      </c>
      <c r="N263" s="65">
        <v>50</v>
      </c>
      <c r="O263" s="363" t="s">
        <v>60</v>
      </c>
      <c r="P263" s="65">
        <v>55</v>
      </c>
      <c r="Q263" s="363" t="s">
        <v>61</v>
      </c>
      <c r="R263" s="65">
        <v>76</v>
      </c>
      <c r="S263" s="363" t="s">
        <v>62</v>
      </c>
      <c r="T263" s="65">
        <v>40</v>
      </c>
      <c r="U263" s="363" t="s">
        <v>55</v>
      </c>
      <c r="V263" s="66" t="s">
        <v>401</v>
      </c>
      <c r="W263" s="12"/>
      <c r="X263" s="12"/>
      <c r="Y263" s="12"/>
    </row>
    <row r="264" spans="1:25" x14ac:dyDescent="0.2">
      <c r="A264" s="362" t="s">
        <v>33</v>
      </c>
      <c r="B264" s="370">
        <v>0</v>
      </c>
      <c r="C264" s="371">
        <v>0.02</v>
      </c>
      <c r="D264" s="371">
        <v>0.04</v>
      </c>
      <c r="E264" s="371">
        <v>0.05</v>
      </c>
      <c r="F264" s="371">
        <v>0.06</v>
      </c>
      <c r="G264" s="371">
        <v>0.94</v>
      </c>
      <c r="H264" s="377">
        <v>0.94200000000000006</v>
      </c>
      <c r="I264" s="371">
        <v>0.95</v>
      </c>
      <c r="J264" s="371">
        <v>0.95</v>
      </c>
      <c r="K264" s="371">
        <v>0.95</v>
      </c>
      <c r="L264" s="371">
        <v>0.95</v>
      </c>
      <c r="M264" s="371">
        <v>0.95</v>
      </c>
      <c r="N264" s="371">
        <v>0.95</v>
      </c>
      <c r="O264" s="371">
        <v>0.95</v>
      </c>
      <c r="P264" s="371">
        <v>0.95</v>
      </c>
      <c r="Q264" s="371">
        <v>0.95</v>
      </c>
      <c r="R264" s="371">
        <v>0.95</v>
      </c>
      <c r="S264" s="371">
        <v>0.95</v>
      </c>
      <c r="T264" s="371">
        <v>0.95</v>
      </c>
      <c r="U264" s="371">
        <v>0.95</v>
      </c>
      <c r="V264" s="371">
        <v>0.95</v>
      </c>
      <c r="W264" s="371">
        <v>0.95</v>
      </c>
      <c r="X264" s="371">
        <v>2</v>
      </c>
      <c r="Y264" s="381">
        <v>1000</v>
      </c>
    </row>
    <row r="265" spans="1:25" x14ac:dyDescent="0.2">
      <c r="A265" s="378" t="s">
        <v>34</v>
      </c>
      <c r="B265" s="372">
        <v>0</v>
      </c>
      <c r="C265" s="373">
        <v>320</v>
      </c>
      <c r="D265" s="373">
        <v>170</v>
      </c>
      <c r="E265" s="373">
        <v>205</v>
      </c>
      <c r="F265" s="373">
        <v>217</v>
      </c>
      <c r="G265" s="373">
        <v>85</v>
      </c>
      <c r="H265" s="373">
        <v>82</v>
      </c>
      <c r="I265" s="373">
        <v>0</v>
      </c>
      <c r="J265" s="373">
        <v>0</v>
      </c>
      <c r="K265" s="373">
        <v>0</v>
      </c>
      <c r="L265" s="373">
        <v>0</v>
      </c>
      <c r="M265" s="373">
        <v>0</v>
      </c>
      <c r="N265" s="373">
        <v>0</v>
      </c>
      <c r="O265" s="373">
        <v>0</v>
      </c>
      <c r="P265" s="373">
        <v>0</v>
      </c>
      <c r="Q265" s="373">
        <v>0</v>
      </c>
      <c r="R265" s="373">
        <v>0</v>
      </c>
      <c r="S265" s="373">
        <v>0</v>
      </c>
      <c r="T265" s="373">
        <v>0</v>
      </c>
      <c r="U265" s="373">
        <v>0</v>
      </c>
      <c r="V265" s="373">
        <v>0</v>
      </c>
      <c r="W265" s="373">
        <v>0</v>
      </c>
      <c r="X265" s="373">
        <v>0</v>
      </c>
      <c r="Y265" s="382">
        <v>0</v>
      </c>
    </row>
    <row r="266" spans="1:25" ht="13.5" thickBot="1" x14ac:dyDescent="0.25">
      <c r="A266" s="379" t="s">
        <v>117</v>
      </c>
      <c r="B266" s="374">
        <f t="shared" ref="B266:H266" si="89">(C265+B265)*(C264-B264)/2</f>
        <v>3.2</v>
      </c>
      <c r="C266" s="375">
        <f t="shared" si="89"/>
        <v>4.9000000000000004</v>
      </c>
      <c r="D266" s="375">
        <f t="shared" si="89"/>
        <v>1.8750000000000004</v>
      </c>
      <c r="E266" s="375">
        <f t="shared" si="89"/>
        <v>2.109999999999999</v>
      </c>
      <c r="F266" s="375">
        <f t="shared" si="89"/>
        <v>132.88</v>
      </c>
      <c r="G266" s="375">
        <f t="shared" si="89"/>
        <v>0.16700000000000942</v>
      </c>
      <c r="H266" s="375">
        <f t="shared" si="89"/>
        <v>0.32799999999999574</v>
      </c>
      <c r="I266" s="375">
        <f t="shared" ref="I266:V266" si="90">(J265+I265)*(J264-I264)/2</f>
        <v>0</v>
      </c>
      <c r="J266" s="375">
        <f>(K265+J265)*(K264-J264)/2</f>
        <v>0</v>
      </c>
      <c r="K266" s="375">
        <f t="shared" si="90"/>
        <v>0</v>
      </c>
      <c r="L266" s="375">
        <f t="shared" si="90"/>
        <v>0</v>
      </c>
      <c r="M266" s="375">
        <f t="shared" si="90"/>
        <v>0</v>
      </c>
      <c r="N266" s="375">
        <f t="shared" si="90"/>
        <v>0</v>
      </c>
      <c r="O266" s="375">
        <f t="shared" si="90"/>
        <v>0</v>
      </c>
      <c r="P266" s="375">
        <f t="shared" si="90"/>
        <v>0</v>
      </c>
      <c r="Q266" s="375">
        <f t="shared" si="90"/>
        <v>0</v>
      </c>
      <c r="R266" s="375">
        <f t="shared" si="90"/>
        <v>0</v>
      </c>
      <c r="S266" s="375">
        <f>(T265+S265)*(T264-S264)/2</f>
        <v>0</v>
      </c>
      <c r="T266" s="375">
        <f t="shared" si="90"/>
        <v>0</v>
      </c>
      <c r="U266" s="375">
        <f t="shared" si="90"/>
        <v>0</v>
      </c>
      <c r="V266" s="375">
        <f t="shared" si="90"/>
        <v>0</v>
      </c>
      <c r="W266" s="375">
        <f>(X265+W265)*(X264-W264)/2</f>
        <v>0</v>
      </c>
      <c r="X266" s="375">
        <f>(Y265+X265)*(Y264-X264)/2</f>
        <v>0</v>
      </c>
      <c r="Y266" s="369"/>
    </row>
    <row r="267" spans="1:25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3.5" thickBot="1" x14ac:dyDescent="0.25">
      <c r="A268" s="6" t="s">
        <v>312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35</v>
      </c>
      <c r="B269" s="359">
        <f>ROW(A269)</f>
        <v>269</v>
      </c>
      <c r="C269" s="363" t="s">
        <v>116</v>
      </c>
      <c r="D269" s="353">
        <f>SUM(B272:Y272)</f>
        <v>1071.5999999999999</v>
      </c>
      <c r="E269" s="363" t="s">
        <v>115</v>
      </c>
      <c r="F269" s="354">
        <f>D269/g/J269</f>
        <v>163.03802090465106</v>
      </c>
      <c r="G269" s="363" t="s">
        <v>57</v>
      </c>
      <c r="H269" s="64">
        <v>2.02</v>
      </c>
      <c r="I269" s="363" t="s">
        <v>270</v>
      </c>
      <c r="J269" s="355">
        <f>H269-L269</f>
        <v>0.66999999999999993</v>
      </c>
      <c r="K269" s="363" t="s">
        <v>271</v>
      </c>
      <c r="L269" s="64">
        <v>1.35</v>
      </c>
      <c r="M269" s="363" t="s">
        <v>58</v>
      </c>
      <c r="N269" s="65">
        <v>154</v>
      </c>
      <c r="O269" s="363" t="s">
        <v>60</v>
      </c>
      <c r="P269" s="65">
        <v>168</v>
      </c>
      <c r="Q269" s="363" t="s">
        <v>61</v>
      </c>
      <c r="R269" s="65">
        <v>230</v>
      </c>
      <c r="S269" s="363" t="s">
        <v>62</v>
      </c>
      <c r="T269" s="65">
        <v>67</v>
      </c>
      <c r="U269" s="363" t="s">
        <v>55</v>
      </c>
      <c r="V269" s="66" t="s">
        <v>119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0.02</v>
      </c>
      <c r="D270" s="371">
        <v>0.05</v>
      </c>
      <c r="E270" s="371">
        <v>0.06</v>
      </c>
      <c r="F270" s="371">
        <v>0.09</v>
      </c>
      <c r="G270" s="371">
        <v>0.17</v>
      </c>
      <c r="H270" s="371">
        <v>0.2</v>
      </c>
      <c r="I270" s="371">
        <v>0.38</v>
      </c>
      <c r="J270" s="371">
        <v>0.75</v>
      </c>
      <c r="K270" s="371">
        <v>0.79</v>
      </c>
      <c r="L270" s="371">
        <v>1.1299999999999999</v>
      </c>
      <c r="M270" s="371">
        <v>1.2</v>
      </c>
      <c r="N270" s="371">
        <v>1.5</v>
      </c>
      <c r="O270" s="371">
        <v>1.54</v>
      </c>
      <c r="P270" s="371">
        <v>1.65</v>
      </c>
      <c r="Q270" s="371">
        <v>1.7</v>
      </c>
      <c r="R270" s="371">
        <v>1.79</v>
      </c>
      <c r="S270" s="371">
        <v>1.79</v>
      </c>
      <c r="T270" s="371">
        <v>1.79</v>
      </c>
      <c r="U270" s="371">
        <v>1.79</v>
      </c>
      <c r="V270" s="371">
        <v>1.79</v>
      </c>
      <c r="W270" s="371">
        <v>1.79</v>
      </c>
      <c r="X270" s="371">
        <v>1.79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20</v>
      </c>
      <c r="D271" s="373">
        <v>870</v>
      </c>
      <c r="E271" s="373">
        <v>530</v>
      </c>
      <c r="F271" s="373">
        <v>790</v>
      </c>
      <c r="G271" s="373">
        <v>700</v>
      </c>
      <c r="H271" s="373">
        <v>710</v>
      </c>
      <c r="I271" s="373">
        <v>670</v>
      </c>
      <c r="J271" s="373">
        <v>630</v>
      </c>
      <c r="K271" s="373">
        <v>630</v>
      </c>
      <c r="L271" s="373">
        <v>710</v>
      </c>
      <c r="M271" s="373">
        <v>690</v>
      </c>
      <c r="N271" s="373">
        <v>690</v>
      </c>
      <c r="O271" s="373">
        <v>660</v>
      </c>
      <c r="P271" s="373">
        <v>160</v>
      </c>
      <c r="Q271" s="373">
        <v>10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117</v>
      </c>
      <c r="B272" s="374">
        <f t="shared" ref="B272:Q272" si="91">(C271+B271)*(C270-B270)/2</f>
        <v>0.2</v>
      </c>
      <c r="C272" s="375">
        <f t="shared" si="91"/>
        <v>13.350000000000001</v>
      </c>
      <c r="D272" s="375">
        <f t="shared" si="91"/>
        <v>6.9999999999999964</v>
      </c>
      <c r="E272" s="375">
        <f t="shared" si="91"/>
        <v>19.8</v>
      </c>
      <c r="F272" s="375">
        <f t="shared" si="91"/>
        <v>59.600000000000009</v>
      </c>
      <c r="G272" s="375">
        <f t="shared" si="91"/>
        <v>21.15</v>
      </c>
      <c r="H272" s="375">
        <f t="shared" si="91"/>
        <v>124.19999999999999</v>
      </c>
      <c r="I272" s="375">
        <f t="shared" si="91"/>
        <v>240.5</v>
      </c>
      <c r="J272" s="375">
        <f>(K271+J271)*(K270-J270)/2</f>
        <v>25.200000000000024</v>
      </c>
      <c r="K272" s="375">
        <f t="shared" si="91"/>
        <v>227.7999999999999</v>
      </c>
      <c r="L272" s="375">
        <f t="shared" si="91"/>
        <v>49.000000000000043</v>
      </c>
      <c r="M272" s="375">
        <f t="shared" si="91"/>
        <v>207.00000000000003</v>
      </c>
      <c r="N272" s="375">
        <f t="shared" si="91"/>
        <v>27.000000000000025</v>
      </c>
      <c r="O272" s="375">
        <f t="shared" si="91"/>
        <v>45.099999999999952</v>
      </c>
      <c r="P272" s="375">
        <f t="shared" si="91"/>
        <v>4.2500000000000036</v>
      </c>
      <c r="Q272" s="375">
        <f t="shared" si="91"/>
        <v>0.4500000000000004</v>
      </c>
      <c r="R272" s="375">
        <f t="shared" ref="R272:X272" si="92">(S271+R271)*(S270-R270)/2</f>
        <v>0</v>
      </c>
      <c r="S272" s="375">
        <f t="shared" si="92"/>
        <v>0</v>
      </c>
      <c r="T272" s="375">
        <f t="shared" si="92"/>
        <v>0</v>
      </c>
      <c r="U272" s="375">
        <f t="shared" si="92"/>
        <v>0</v>
      </c>
      <c r="V272" s="375">
        <f t="shared" si="92"/>
        <v>0</v>
      </c>
      <c r="W272" s="375">
        <f t="shared" si="92"/>
        <v>0</v>
      </c>
      <c r="X272" s="375">
        <f t="shared" si="92"/>
        <v>0</v>
      </c>
      <c r="Y272" s="383"/>
    </row>
    <row r="273" spans="1:25" ht="13.5" thickBot="1" x14ac:dyDescent="0.25">
      <c r="S273" s="12"/>
      <c r="T273" s="12"/>
      <c r="U273" s="12"/>
      <c r="V273" s="12"/>
      <c r="W273" s="12"/>
      <c r="X273" s="12"/>
      <c r="Y273" s="12"/>
    </row>
    <row r="274" spans="1:25" ht="13.5" thickBot="1" x14ac:dyDescent="0.25">
      <c r="A274" s="361" t="s">
        <v>36</v>
      </c>
      <c r="B274" s="359">
        <f>ROW(A274)</f>
        <v>274</v>
      </c>
      <c r="C274" s="363" t="s">
        <v>116</v>
      </c>
      <c r="D274" s="353">
        <f>SUM(B277:Y277)</f>
        <v>2102.35</v>
      </c>
      <c r="E274" s="363" t="s">
        <v>115</v>
      </c>
      <c r="F274" s="354">
        <f>D274/g/J274</f>
        <v>174.23319493133766</v>
      </c>
      <c r="G274" s="363" t="s">
        <v>57</v>
      </c>
      <c r="H274" s="64">
        <v>3.7</v>
      </c>
      <c r="I274" s="363" t="s">
        <v>270</v>
      </c>
      <c r="J274" s="355">
        <f>H274-L274</f>
        <v>1.23</v>
      </c>
      <c r="K274" s="363" t="s">
        <v>271</v>
      </c>
      <c r="L274" s="64">
        <v>2.4700000000000002</v>
      </c>
      <c r="M274" s="363" t="s">
        <v>58</v>
      </c>
      <c r="N274" s="65">
        <v>151</v>
      </c>
      <c r="O274" s="363" t="s">
        <v>60</v>
      </c>
      <c r="P274" s="65">
        <v>171</v>
      </c>
      <c r="Q274" s="363" t="s">
        <v>61</v>
      </c>
      <c r="R274" s="65">
        <v>247</v>
      </c>
      <c r="S274" s="363" t="s">
        <v>62</v>
      </c>
      <c r="T274" s="65">
        <v>90</v>
      </c>
      <c r="U274" s="363" t="s">
        <v>55</v>
      </c>
      <c r="V274" s="66" t="s">
        <v>119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0.1</v>
      </c>
      <c r="E275" s="371">
        <v>1</v>
      </c>
      <c r="F275" s="371">
        <v>1.35</v>
      </c>
      <c r="G275" s="371">
        <v>1.75</v>
      </c>
      <c r="H275" s="371">
        <v>2.15</v>
      </c>
      <c r="I275" s="371">
        <v>2.25</v>
      </c>
      <c r="J275" s="371">
        <v>2.48</v>
      </c>
      <c r="K275" s="371">
        <v>2.6</v>
      </c>
      <c r="L275" s="371">
        <v>2.8</v>
      </c>
      <c r="M275" s="371">
        <v>2.8</v>
      </c>
      <c r="N275" s="371">
        <v>2.8</v>
      </c>
      <c r="O275" s="371">
        <v>2.8</v>
      </c>
      <c r="P275" s="371">
        <v>2.8</v>
      </c>
      <c r="Q275" s="371">
        <v>2.8</v>
      </c>
      <c r="R275" s="371">
        <v>2.8</v>
      </c>
      <c r="S275" s="371">
        <v>2.8</v>
      </c>
      <c r="T275" s="371">
        <v>2.8</v>
      </c>
      <c r="U275" s="371">
        <v>2.8</v>
      </c>
      <c r="V275" s="371">
        <v>2.8</v>
      </c>
      <c r="W275" s="371">
        <v>2.8</v>
      </c>
      <c r="X275" s="371">
        <v>2.8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860</v>
      </c>
      <c r="D276" s="373">
        <v>840</v>
      </c>
      <c r="E276" s="373">
        <v>840</v>
      </c>
      <c r="F276" s="373">
        <v>850</v>
      </c>
      <c r="G276" s="373">
        <v>900</v>
      </c>
      <c r="H276" s="373">
        <v>1050</v>
      </c>
      <c r="I276" s="373">
        <v>1020</v>
      </c>
      <c r="J276" s="373">
        <v>120</v>
      </c>
      <c r="K276" s="373">
        <v>30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79" t="s">
        <v>117</v>
      </c>
      <c r="B277" s="374">
        <f t="shared" ref="B277:K277" si="93">(C276+B276)*(C275-B275)/2</f>
        <v>21.5</v>
      </c>
      <c r="C277" s="375">
        <f t="shared" si="93"/>
        <v>42.5</v>
      </c>
      <c r="D277" s="375">
        <f t="shared" si="93"/>
        <v>756</v>
      </c>
      <c r="E277" s="375">
        <f t="shared" si="93"/>
        <v>295.75000000000006</v>
      </c>
      <c r="F277" s="375">
        <f t="shared" si="93"/>
        <v>349.99999999999994</v>
      </c>
      <c r="G277" s="375">
        <f t="shared" si="93"/>
        <v>389.99999999999989</v>
      </c>
      <c r="H277" s="375">
        <f t="shared" si="93"/>
        <v>103.50000000000009</v>
      </c>
      <c r="I277" s="375">
        <f t="shared" si="93"/>
        <v>131.1</v>
      </c>
      <c r="J277" s="375">
        <f>(K276+J276)*(K275-J275)/2</f>
        <v>9.0000000000000071</v>
      </c>
      <c r="K277" s="375">
        <f t="shared" si="93"/>
        <v>2.999999999999996</v>
      </c>
      <c r="L277" s="375">
        <f t="shared" ref="L277:V277" si="94">(M276+L276)*(M275-L275)/2</f>
        <v>0</v>
      </c>
      <c r="M277" s="375">
        <f t="shared" si="94"/>
        <v>0</v>
      </c>
      <c r="N277" s="375">
        <f t="shared" si="94"/>
        <v>0</v>
      </c>
      <c r="O277" s="375">
        <f t="shared" si="94"/>
        <v>0</v>
      </c>
      <c r="P277" s="375">
        <f t="shared" si="94"/>
        <v>0</v>
      </c>
      <c r="Q277" s="375">
        <f t="shared" si="94"/>
        <v>0</v>
      </c>
      <c r="R277" s="375">
        <f t="shared" si="94"/>
        <v>0</v>
      </c>
      <c r="S277" s="375">
        <f>(T276+S276)*(T275-S275)/2</f>
        <v>0</v>
      </c>
      <c r="T277" s="375">
        <f t="shared" si="94"/>
        <v>0</v>
      </c>
      <c r="U277" s="375">
        <f t="shared" si="94"/>
        <v>0</v>
      </c>
      <c r="V277" s="375">
        <f t="shared" si="94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/>
    <row r="279" spans="1:25" ht="13.5" thickBot="1" x14ac:dyDescent="0.25">
      <c r="A279" s="361" t="s">
        <v>550</v>
      </c>
      <c r="B279" s="359">
        <f>ROW(A279)</f>
        <v>279</v>
      </c>
      <c r="C279" s="363" t="s">
        <v>116</v>
      </c>
      <c r="D279" s="353">
        <f>SUM(B282:Y282)</f>
        <v>2058.37</v>
      </c>
      <c r="E279" s="363" t="s">
        <v>115</v>
      </c>
      <c r="F279" s="354">
        <f>D279/g/J279</f>
        <v>203.12066731598335</v>
      </c>
      <c r="G279" s="363" t="s">
        <v>57</v>
      </c>
      <c r="H279" s="64">
        <v>1.6850000000000001</v>
      </c>
      <c r="I279" s="363" t="s">
        <v>270</v>
      </c>
      <c r="J279" s="355">
        <f>H279-L279</f>
        <v>1.0329999999999999</v>
      </c>
      <c r="K279" s="363" t="s">
        <v>271</v>
      </c>
      <c r="L279" s="64">
        <v>0.65200000000000002</v>
      </c>
      <c r="M279" s="363" t="s">
        <v>58</v>
      </c>
      <c r="N279" s="65">
        <v>250</v>
      </c>
      <c r="O279" s="363" t="s">
        <v>60</v>
      </c>
      <c r="P279" s="65">
        <v>240</v>
      </c>
      <c r="Q279" s="363" t="s">
        <v>61</v>
      </c>
      <c r="R279" s="65">
        <v>488</v>
      </c>
      <c r="S279" s="363" t="s">
        <v>62</v>
      </c>
      <c r="T279" s="65">
        <v>54</v>
      </c>
      <c r="U279" s="363" t="s">
        <v>55</v>
      </c>
      <c r="V279" s="66" t="s">
        <v>119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0.05</v>
      </c>
      <c r="D280" s="371">
        <v>0.5</v>
      </c>
      <c r="E280" s="371">
        <v>1</v>
      </c>
      <c r="F280" s="371">
        <v>1.5</v>
      </c>
      <c r="G280" s="371">
        <v>2</v>
      </c>
      <c r="H280" s="371">
        <v>2.5</v>
      </c>
      <c r="I280" s="371">
        <v>2.97</v>
      </c>
      <c r="J280" s="371">
        <v>3.2</v>
      </c>
      <c r="K280" s="371">
        <v>3.47</v>
      </c>
      <c r="L280" s="371">
        <v>3.59</v>
      </c>
      <c r="M280" s="371">
        <v>3.59</v>
      </c>
      <c r="N280" s="371">
        <v>3.59</v>
      </c>
      <c r="O280" s="371">
        <v>3.59</v>
      </c>
      <c r="P280" s="371">
        <v>3.59</v>
      </c>
      <c r="Q280" s="371">
        <v>3.59</v>
      </c>
      <c r="R280" s="371">
        <v>3.59</v>
      </c>
      <c r="S280" s="371">
        <v>3.59</v>
      </c>
      <c r="T280" s="371">
        <v>3.59</v>
      </c>
      <c r="U280" s="371">
        <v>3.59</v>
      </c>
      <c r="V280" s="371">
        <v>3.59</v>
      </c>
      <c r="W280" s="371">
        <v>3.59</v>
      </c>
      <c r="X280" s="371">
        <v>3.59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893</v>
      </c>
      <c r="D281" s="373">
        <v>798</v>
      </c>
      <c r="E281" s="373">
        <v>739</v>
      </c>
      <c r="F281" s="373">
        <v>659</v>
      </c>
      <c r="G281" s="373">
        <v>586</v>
      </c>
      <c r="H281" s="373">
        <v>513</v>
      </c>
      <c r="I281" s="373">
        <v>417</v>
      </c>
      <c r="J281" s="373">
        <v>225</v>
      </c>
      <c r="K281" s="373">
        <v>67</v>
      </c>
      <c r="L281" s="373">
        <v>0</v>
      </c>
      <c r="M281" s="373">
        <v>0</v>
      </c>
      <c r="N281" s="373">
        <v>0</v>
      </c>
      <c r="O281" s="373">
        <v>0</v>
      </c>
      <c r="P281" s="373">
        <v>0</v>
      </c>
      <c r="Q281" s="373">
        <v>0</v>
      </c>
      <c r="R281" s="373">
        <v>0</v>
      </c>
      <c r="S281" s="373">
        <v>0</v>
      </c>
      <c r="T281" s="373">
        <v>0</v>
      </c>
      <c r="U281" s="373">
        <v>0</v>
      </c>
      <c r="V281" s="373">
        <v>0</v>
      </c>
      <c r="W281" s="373">
        <v>0</v>
      </c>
      <c r="X281" s="373">
        <v>0</v>
      </c>
      <c r="Y281" s="382">
        <v>0</v>
      </c>
    </row>
    <row r="282" spans="1:25" ht="13.5" thickBot="1" x14ac:dyDescent="0.25">
      <c r="A282" s="380" t="s">
        <v>117</v>
      </c>
      <c r="B282" s="374">
        <f t="shared" ref="B282:V282" si="95">(C281+B281)*(C280-B280)/2</f>
        <v>22.325000000000003</v>
      </c>
      <c r="C282" s="375">
        <f t="shared" si="95"/>
        <v>380.47500000000002</v>
      </c>
      <c r="D282" s="375">
        <f t="shared" si="95"/>
        <v>384.25</v>
      </c>
      <c r="E282" s="375">
        <f t="shared" si="95"/>
        <v>349.5</v>
      </c>
      <c r="F282" s="375">
        <f t="shared" si="95"/>
        <v>311.25</v>
      </c>
      <c r="G282" s="375">
        <f t="shared" si="95"/>
        <v>274.75</v>
      </c>
      <c r="H282" s="375">
        <f t="shared" si="95"/>
        <v>218.5500000000001</v>
      </c>
      <c r="I282" s="375">
        <f t="shared" si="95"/>
        <v>73.83</v>
      </c>
      <c r="J282" s="375">
        <f>(K281+J281)*(K280-J280)/2</f>
        <v>39.42</v>
      </c>
      <c r="K282" s="375">
        <f t="shared" si="95"/>
        <v>4.0199999999999889</v>
      </c>
      <c r="L282" s="375">
        <f t="shared" si="95"/>
        <v>0</v>
      </c>
      <c r="M282" s="375">
        <f t="shared" si="95"/>
        <v>0</v>
      </c>
      <c r="N282" s="375">
        <f t="shared" si="95"/>
        <v>0</v>
      </c>
      <c r="O282" s="375">
        <f t="shared" si="95"/>
        <v>0</v>
      </c>
      <c r="P282" s="375">
        <f t="shared" si="95"/>
        <v>0</v>
      </c>
      <c r="Q282" s="375">
        <f t="shared" si="95"/>
        <v>0</v>
      </c>
      <c r="R282" s="375">
        <f t="shared" si="95"/>
        <v>0</v>
      </c>
      <c r="S282" s="375">
        <f>(T281+S281)*(T280-S280)/2</f>
        <v>0</v>
      </c>
      <c r="T282" s="375">
        <f t="shared" si="95"/>
        <v>0</v>
      </c>
      <c r="U282" s="375">
        <f t="shared" si="95"/>
        <v>0</v>
      </c>
      <c r="V282" s="375">
        <f t="shared" si="95"/>
        <v>0</v>
      </c>
      <c r="W282" s="375">
        <f>(X281+W281)*(X280-W280)/2</f>
        <v>0</v>
      </c>
      <c r="X282" s="375">
        <f>(Y281+X281)*(Y280-X280)/2</f>
        <v>0</v>
      </c>
      <c r="Y282" s="369"/>
    </row>
    <row r="283" spans="1:25" ht="13.5" thickBo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37</v>
      </c>
      <c r="B284" s="359">
        <f>ROW(A284)</f>
        <v>284</v>
      </c>
      <c r="C284" s="363" t="s">
        <v>116</v>
      </c>
      <c r="D284" s="353">
        <f>SUM(B287:Y287)</f>
        <v>2486.041999999999</v>
      </c>
      <c r="E284" s="363" t="s">
        <v>115</v>
      </c>
      <c r="F284" s="354">
        <f>D284/g/J284</f>
        <v>199.54264891200521</v>
      </c>
      <c r="G284" s="363" t="s">
        <v>57</v>
      </c>
      <c r="H284" s="64">
        <v>2.59</v>
      </c>
      <c r="I284" s="363" t="s">
        <v>270</v>
      </c>
      <c r="J284" s="355">
        <f>H284-L284</f>
        <v>1.2699999999999998</v>
      </c>
      <c r="K284" s="363" t="s">
        <v>271</v>
      </c>
      <c r="L284" s="64">
        <v>1.32</v>
      </c>
      <c r="M284" s="363" t="s">
        <v>58</v>
      </c>
      <c r="N284" s="65">
        <v>175</v>
      </c>
      <c r="O284" s="363" t="s">
        <v>60</v>
      </c>
      <c r="P284" s="65">
        <v>175</v>
      </c>
      <c r="Q284" s="363" t="s">
        <v>61</v>
      </c>
      <c r="R284" s="65">
        <v>350</v>
      </c>
      <c r="S284" s="363" t="s">
        <v>62</v>
      </c>
      <c r="T284" s="65">
        <v>75</v>
      </c>
      <c r="U284" s="363" t="s">
        <v>55</v>
      </c>
      <c r="V284" s="66" t="s">
        <v>119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0.04</v>
      </c>
      <c r="D285" s="371">
        <v>7.0000000000000007E-2</v>
      </c>
      <c r="E285" s="371">
        <v>0.1</v>
      </c>
      <c r="F285" s="371">
        <v>0.21</v>
      </c>
      <c r="G285" s="371">
        <v>0.35</v>
      </c>
      <c r="H285" s="371">
        <v>0.53</v>
      </c>
      <c r="I285" s="371">
        <v>0.82</v>
      </c>
      <c r="J285" s="371">
        <v>1.18</v>
      </c>
      <c r="K285" s="371">
        <v>1.72</v>
      </c>
      <c r="L285" s="371">
        <v>2.15</v>
      </c>
      <c r="M285" s="371">
        <v>2.39</v>
      </c>
      <c r="N285" s="371">
        <v>2.9</v>
      </c>
      <c r="O285" s="371">
        <v>3.07</v>
      </c>
      <c r="P285" s="371">
        <v>3.56</v>
      </c>
      <c r="Q285" s="371">
        <v>3.98</v>
      </c>
      <c r="R285" s="371">
        <v>4.32</v>
      </c>
      <c r="S285" s="371">
        <v>4.4800000000000004</v>
      </c>
      <c r="T285" s="371">
        <v>4.5999999999999996</v>
      </c>
      <c r="U285" s="371">
        <v>4.6500000000000004</v>
      </c>
      <c r="V285" s="371">
        <v>4.8</v>
      </c>
      <c r="W285" s="371">
        <v>4.83</v>
      </c>
      <c r="X285" s="371">
        <v>4.84</v>
      </c>
      <c r="Y285" s="381">
        <v>1000</v>
      </c>
    </row>
    <row r="286" spans="1:25" x14ac:dyDescent="0.2">
      <c r="A286" s="378" t="s">
        <v>34</v>
      </c>
      <c r="B286" s="372">
        <v>0</v>
      </c>
      <c r="C286" s="373">
        <v>394.4</v>
      </c>
      <c r="D286" s="373">
        <v>617.70000000000005</v>
      </c>
      <c r="E286" s="373">
        <v>645.1</v>
      </c>
      <c r="F286" s="373">
        <v>658.2</v>
      </c>
      <c r="G286" s="373">
        <v>669.2</v>
      </c>
      <c r="H286" s="373">
        <v>667.7</v>
      </c>
      <c r="I286" s="373">
        <v>661.6</v>
      </c>
      <c r="J286" s="373">
        <v>626.9</v>
      </c>
      <c r="K286" s="373">
        <v>588.5</v>
      </c>
      <c r="L286" s="373">
        <v>557.70000000000005</v>
      </c>
      <c r="M286" s="373">
        <v>542.29999999999995</v>
      </c>
      <c r="N286" s="373">
        <v>492.9</v>
      </c>
      <c r="O286" s="373">
        <v>470.3</v>
      </c>
      <c r="P286" s="373">
        <v>426.8</v>
      </c>
      <c r="Q286" s="373">
        <v>399</v>
      </c>
      <c r="R286" s="373">
        <v>394</v>
      </c>
      <c r="S286" s="373">
        <v>380.6</v>
      </c>
      <c r="T286" s="373">
        <v>364.2</v>
      </c>
      <c r="U286" s="373">
        <v>290.89999999999998</v>
      </c>
      <c r="V286" s="373">
        <v>91.2</v>
      </c>
      <c r="W286" s="373">
        <v>45.8</v>
      </c>
      <c r="X286" s="373">
        <v>0</v>
      </c>
      <c r="Y286" s="382">
        <v>0</v>
      </c>
    </row>
    <row r="287" spans="1:25" ht="13.5" thickBot="1" x14ac:dyDescent="0.25">
      <c r="A287" s="379" t="s">
        <v>117</v>
      </c>
      <c r="B287" s="374">
        <f t="shared" ref="B287:V287" si="96">(C286+B286)*(C285-B285)/2</f>
        <v>7.8879999999999999</v>
      </c>
      <c r="C287" s="375">
        <f t="shared" si="96"/>
        <v>15.181500000000003</v>
      </c>
      <c r="D287" s="375">
        <f t="shared" si="96"/>
        <v>18.942000000000004</v>
      </c>
      <c r="E287" s="375">
        <f t="shared" si="96"/>
        <v>71.6815</v>
      </c>
      <c r="F287" s="375">
        <f t="shared" si="96"/>
        <v>92.917999999999992</v>
      </c>
      <c r="G287" s="375">
        <f t="shared" si="96"/>
        <v>120.32100000000004</v>
      </c>
      <c r="H287" s="375">
        <f t="shared" si="96"/>
        <v>192.74849999999998</v>
      </c>
      <c r="I287" s="375">
        <f t="shared" si="96"/>
        <v>231.92999999999998</v>
      </c>
      <c r="J287" s="375">
        <f>(K286+J286)*(K285-J285)/2</f>
        <v>328.15800000000007</v>
      </c>
      <c r="K287" s="375">
        <f t="shared" si="96"/>
        <v>246.43299999999996</v>
      </c>
      <c r="L287" s="375">
        <f t="shared" si="96"/>
        <v>132.00000000000011</v>
      </c>
      <c r="M287" s="375">
        <f t="shared" si="96"/>
        <v>263.97599999999983</v>
      </c>
      <c r="N287" s="375">
        <f t="shared" si="96"/>
        <v>81.871999999999971</v>
      </c>
      <c r="O287" s="375">
        <f t="shared" si="96"/>
        <v>219.78950000000009</v>
      </c>
      <c r="P287" s="375">
        <f t="shared" si="96"/>
        <v>173.41799999999995</v>
      </c>
      <c r="Q287" s="375">
        <f t="shared" si="96"/>
        <v>134.81000000000012</v>
      </c>
      <c r="R287" s="375">
        <f t="shared" si="96"/>
        <v>61.96800000000006</v>
      </c>
      <c r="S287" s="375">
        <f>(T286+S286)*(T285-S285)/2</f>
        <v>44.687999999999704</v>
      </c>
      <c r="T287" s="375">
        <f t="shared" si="96"/>
        <v>16.377500000000232</v>
      </c>
      <c r="U287" s="375">
        <f t="shared" si="96"/>
        <v>28.657499999999896</v>
      </c>
      <c r="V287" s="375">
        <f t="shared" si="96"/>
        <v>2.055000000000017</v>
      </c>
      <c r="W287" s="375">
        <f>(X286+W286)*(X285-W285)/2</f>
        <v>0.2289999999999951</v>
      </c>
      <c r="X287" s="375">
        <f>(Y286+X286)*(Y285-X285)/2</f>
        <v>0</v>
      </c>
      <c r="Y287" s="369"/>
    </row>
    <row r="288" spans="1:25" ht="13.5" thickBot="1" x14ac:dyDescent="0.25">
      <c r="A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551</v>
      </c>
      <c r="B289" s="359">
        <f>ROW(A289)</f>
        <v>289</v>
      </c>
      <c r="C289" s="363" t="s">
        <v>116</v>
      </c>
      <c r="D289" s="353">
        <f>SUM(B292:Y292)</f>
        <v>3739.0284999999994</v>
      </c>
      <c r="E289" s="363" t="s">
        <v>115</v>
      </c>
      <c r="F289" s="354">
        <f>D289/g/J289</f>
        <v>203.4941790441234</v>
      </c>
      <c r="G289" s="363" t="s">
        <v>57</v>
      </c>
      <c r="H289" s="64">
        <v>3.5110000000000001</v>
      </c>
      <c r="I289" s="363" t="s">
        <v>270</v>
      </c>
      <c r="J289" s="355">
        <f>H289-L289</f>
        <v>1.8730000000000002</v>
      </c>
      <c r="K289" s="363" t="s">
        <v>271</v>
      </c>
      <c r="L289" s="64">
        <v>1.6379999999999999</v>
      </c>
      <c r="M289" s="363" t="s">
        <v>58</v>
      </c>
      <c r="N289" s="65">
        <v>243</v>
      </c>
      <c r="O289" s="363" t="s">
        <v>60</v>
      </c>
      <c r="P289" s="65">
        <v>243</v>
      </c>
      <c r="Q289" s="363" t="s">
        <v>61</v>
      </c>
      <c r="R289" s="65">
        <v>486</v>
      </c>
      <c r="S289" s="363" t="s">
        <v>62</v>
      </c>
      <c r="T289" s="65">
        <v>75</v>
      </c>
      <c r="U289" s="363" t="s">
        <v>55</v>
      </c>
      <c r="V289" s="66" t="s">
        <v>119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0.01</v>
      </c>
      <c r="D290" s="371">
        <v>0.1</v>
      </c>
      <c r="E290" s="371">
        <v>0.12</v>
      </c>
      <c r="F290" s="371">
        <v>0.26</v>
      </c>
      <c r="G290" s="371">
        <v>0.71</v>
      </c>
      <c r="H290" s="371">
        <v>1.28</v>
      </c>
      <c r="I290" s="371">
        <v>2.0499999999999998</v>
      </c>
      <c r="J290" s="371">
        <v>2.41</v>
      </c>
      <c r="K290" s="371">
        <v>2.83</v>
      </c>
      <c r="L290" s="371">
        <v>3.25</v>
      </c>
      <c r="M290" s="371">
        <v>3.65</v>
      </c>
      <c r="N290" s="371">
        <v>3.8</v>
      </c>
      <c r="O290" s="371">
        <v>4</v>
      </c>
      <c r="P290" s="371">
        <v>4.0999999999999996</v>
      </c>
      <c r="Q290" s="371">
        <v>4.1900000000000004</v>
      </c>
      <c r="R290" s="371">
        <v>4.3099999999999996</v>
      </c>
      <c r="S290" s="371">
        <v>4.41</v>
      </c>
      <c r="T290" s="371">
        <v>4.5199999999999996</v>
      </c>
      <c r="U290" s="371">
        <v>4.5999999999999996</v>
      </c>
      <c r="V290" s="371">
        <v>4.6500000000000004</v>
      </c>
      <c r="W290" s="371">
        <v>4.67</v>
      </c>
      <c r="X290" s="371">
        <v>4.68</v>
      </c>
      <c r="Y290" s="381">
        <v>1000</v>
      </c>
    </row>
    <row r="291" spans="1:25" x14ac:dyDescent="0.2">
      <c r="A291" s="378" t="s">
        <v>34</v>
      </c>
      <c r="B291" s="372">
        <v>27</v>
      </c>
      <c r="C291" s="373">
        <v>402.4</v>
      </c>
      <c r="D291" s="373">
        <v>1286</v>
      </c>
      <c r="E291" s="373">
        <v>1257</v>
      </c>
      <c r="F291" s="373">
        <v>1042</v>
      </c>
      <c r="G291" s="373">
        <v>1027</v>
      </c>
      <c r="H291" s="373">
        <v>998.4</v>
      </c>
      <c r="I291" s="373">
        <v>901.4</v>
      </c>
      <c r="J291" s="373">
        <v>849.6</v>
      </c>
      <c r="K291" s="373">
        <v>763.5</v>
      </c>
      <c r="L291" s="373">
        <v>707.1</v>
      </c>
      <c r="M291" s="373">
        <v>655.1</v>
      </c>
      <c r="N291" s="373">
        <v>651.70000000000005</v>
      </c>
      <c r="O291" s="373">
        <v>624.1</v>
      </c>
      <c r="P291" s="373">
        <v>601.29999999999995</v>
      </c>
      <c r="Q291" s="373">
        <v>536.20000000000005</v>
      </c>
      <c r="R291" s="373">
        <v>415.7</v>
      </c>
      <c r="S291" s="373">
        <v>270.2</v>
      </c>
      <c r="T291" s="373">
        <v>140.19999999999999</v>
      </c>
      <c r="U291" s="373">
        <v>76.900000000000006</v>
      </c>
      <c r="V291" s="373">
        <v>54.9</v>
      </c>
      <c r="W291" s="373">
        <v>40.200000000000003</v>
      </c>
      <c r="X291" s="373">
        <v>0</v>
      </c>
      <c r="Y291" s="382">
        <v>0</v>
      </c>
    </row>
    <row r="292" spans="1:25" ht="13.5" thickBot="1" x14ac:dyDescent="0.25">
      <c r="A292" s="379" t="s">
        <v>117</v>
      </c>
      <c r="B292" s="374">
        <f t="shared" ref="B292:V292" si="97">(C291+B291)*(C290-B290)/2</f>
        <v>2.1469999999999998</v>
      </c>
      <c r="C292" s="375">
        <f t="shared" si="97"/>
        <v>75.978000000000009</v>
      </c>
      <c r="D292" s="375">
        <f t="shared" si="97"/>
        <v>25.429999999999989</v>
      </c>
      <c r="E292" s="375">
        <f t="shared" si="97"/>
        <v>160.93</v>
      </c>
      <c r="F292" s="375">
        <f t="shared" si="97"/>
        <v>465.52499999999998</v>
      </c>
      <c r="G292" s="375">
        <f t="shared" si="97"/>
        <v>577.23900000000003</v>
      </c>
      <c r="H292" s="375">
        <f t="shared" si="97"/>
        <v>731.42299999999977</v>
      </c>
      <c r="I292" s="375">
        <f t="shared" si="97"/>
        <v>315.18000000000029</v>
      </c>
      <c r="J292" s="375">
        <f>(K291+J291)*(K290-J290)/2</f>
        <v>338.75099999999992</v>
      </c>
      <c r="K292" s="375">
        <f t="shared" si="97"/>
        <v>308.82599999999991</v>
      </c>
      <c r="L292" s="375">
        <f t="shared" si="97"/>
        <v>272.43999999999994</v>
      </c>
      <c r="M292" s="375">
        <f t="shared" si="97"/>
        <v>98.009999999999962</v>
      </c>
      <c r="N292" s="375">
        <f t="shared" si="97"/>
        <v>127.58000000000013</v>
      </c>
      <c r="O292" s="375">
        <f t="shared" si="97"/>
        <v>61.26999999999979</v>
      </c>
      <c r="P292" s="375">
        <f t="shared" si="97"/>
        <v>51.187500000000426</v>
      </c>
      <c r="Q292" s="375">
        <f t="shared" si="97"/>
        <v>57.113999999999635</v>
      </c>
      <c r="R292" s="375">
        <f t="shared" si="97"/>
        <v>34.295000000000179</v>
      </c>
      <c r="S292" s="375">
        <f>(T291+S291)*(T290-S290)/2</f>
        <v>22.571999999999882</v>
      </c>
      <c r="T292" s="375">
        <f t="shared" si="97"/>
        <v>8.6840000000000082</v>
      </c>
      <c r="U292" s="375">
        <f t="shared" si="97"/>
        <v>3.295000000000047</v>
      </c>
      <c r="V292" s="375">
        <f t="shared" si="97"/>
        <v>0.95099999999997964</v>
      </c>
      <c r="W292" s="375">
        <f>(X291+W291)*(X290-W290)/2</f>
        <v>0.20099999999999574</v>
      </c>
      <c r="X292" s="375">
        <f>(Y291+X291)*(Y290-X290)/2</f>
        <v>0</v>
      </c>
      <c r="Y292" s="369"/>
    </row>
    <row r="293" spans="1:25" ht="13.5" thickBo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317</v>
      </c>
      <c r="B294" s="359">
        <f>ROW(A294)</f>
        <v>294</v>
      </c>
      <c r="C294" s="363" t="s">
        <v>116</v>
      </c>
      <c r="D294" s="353">
        <f>SUM(B297:Y297)</f>
        <v>5322.2813159999996</v>
      </c>
      <c r="E294" s="363" t="s">
        <v>115</v>
      </c>
      <c r="F294" s="354">
        <f>D294/g/J294</f>
        <v>210.04116210318938</v>
      </c>
      <c r="G294" s="363" t="s">
        <v>57</v>
      </c>
      <c r="H294" s="64">
        <v>4.9770000000000003</v>
      </c>
      <c r="I294" s="363" t="s">
        <v>270</v>
      </c>
      <c r="J294" s="355">
        <f>H294-L294</f>
        <v>2.5830000000000002</v>
      </c>
      <c r="K294" s="363" t="s">
        <v>271</v>
      </c>
      <c r="L294" s="64">
        <v>2.3940000000000001</v>
      </c>
      <c r="M294" s="363" t="s">
        <v>58</v>
      </c>
      <c r="N294" s="65">
        <v>197</v>
      </c>
      <c r="O294" s="363" t="s">
        <v>60</v>
      </c>
      <c r="P294" s="65">
        <v>197</v>
      </c>
      <c r="Q294" s="363" t="s">
        <v>61</v>
      </c>
      <c r="R294" s="65">
        <v>394</v>
      </c>
      <c r="S294" s="363" t="s">
        <v>62</v>
      </c>
      <c r="T294" s="65">
        <v>98</v>
      </c>
      <c r="U294" s="363" t="s">
        <v>55</v>
      </c>
      <c r="V294" s="66" t="s">
        <v>119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3.6999999999999998E-2</v>
      </c>
      <c r="D295" s="371">
        <v>0.121</v>
      </c>
      <c r="E295" s="371">
        <v>0.32800000000000001</v>
      </c>
      <c r="F295" s="371">
        <v>1.2989999999999999</v>
      </c>
      <c r="G295" s="371">
        <v>1.5449999999999999</v>
      </c>
      <c r="H295" s="371">
        <v>1.7969999999999999</v>
      </c>
      <c r="I295" s="371">
        <v>1.998</v>
      </c>
      <c r="J295" s="371">
        <v>2.2080000000000002</v>
      </c>
      <c r="K295" s="371">
        <v>2.4620000000000002</v>
      </c>
      <c r="L295" s="371">
        <v>2.782</v>
      </c>
      <c r="M295" s="371">
        <v>3.0859999999999999</v>
      </c>
      <c r="N295" s="371">
        <v>3.2130000000000001</v>
      </c>
      <c r="O295" s="371">
        <v>3.258</v>
      </c>
      <c r="P295" s="371">
        <v>3.3279999999999998</v>
      </c>
      <c r="Q295" s="371">
        <v>3.383</v>
      </c>
      <c r="R295" s="371">
        <v>3.4279999999999999</v>
      </c>
      <c r="S295" s="371">
        <v>3.5</v>
      </c>
      <c r="T295" s="371">
        <v>3.5</v>
      </c>
      <c r="U295" s="371">
        <v>3.5</v>
      </c>
      <c r="V295" s="371">
        <v>3.5</v>
      </c>
      <c r="W295" s="371">
        <v>3.5</v>
      </c>
      <c r="X295" s="371">
        <v>3.5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1474.12</v>
      </c>
      <c r="D296" s="373">
        <v>1436.5</v>
      </c>
      <c r="E296" s="373">
        <v>1523.49</v>
      </c>
      <c r="F296" s="373">
        <v>1775.06</v>
      </c>
      <c r="G296" s="373">
        <v>1807.97</v>
      </c>
      <c r="H296" s="373">
        <v>1807.97</v>
      </c>
      <c r="I296" s="373">
        <v>1786.81</v>
      </c>
      <c r="J296" s="373">
        <v>1737.44</v>
      </c>
      <c r="K296" s="373">
        <v>1572.86</v>
      </c>
      <c r="L296" s="373">
        <v>1415.34</v>
      </c>
      <c r="M296" s="373">
        <v>1309.55</v>
      </c>
      <c r="N296" s="373">
        <v>1290.74</v>
      </c>
      <c r="O296" s="373">
        <v>1309.55</v>
      </c>
      <c r="P296" s="373">
        <v>679.45899999999995</v>
      </c>
      <c r="Q296" s="373">
        <v>173.97900000000001</v>
      </c>
      <c r="R296" s="373">
        <v>68.180999999999997</v>
      </c>
      <c r="S296" s="373">
        <v>0</v>
      </c>
      <c r="T296" s="373">
        <v>0</v>
      </c>
      <c r="U296" s="373">
        <v>0</v>
      </c>
      <c r="V296" s="373">
        <v>0</v>
      </c>
      <c r="W296" s="373">
        <v>0</v>
      </c>
      <c r="X296" s="373">
        <v>0</v>
      </c>
      <c r="Y296" s="382">
        <v>0</v>
      </c>
    </row>
    <row r="297" spans="1:25" ht="13.5" thickBot="1" x14ac:dyDescent="0.25">
      <c r="A297" s="379" t="s">
        <v>117</v>
      </c>
      <c r="B297" s="374">
        <f t="shared" ref="B297:X297" si="98">(C296+B296)*(C295-B295)/2</f>
        <v>27.271219999999996</v>
      </c>
      <c r="C297" s="375">
        <f t="shared" si="98"/>
        <v>122.24603999999998</v>
      </c>
      <c r="D297" s="375">
        <f t="shared" si="98"/>
        <v>306.35896500000001</v>
      </c>
      <c r="E297" s="375">
        <f t="shared" si="98"/>
        <v>1601.446025</v>
      </c>
      <c r="F297" s="375">
        <f t="shared" si="98"/>
        <v>440.71268999999995</v>
      </c>
      <c r="G297" s="375">
        <f t="shared" si="98"/>
        <v>455.60844000000003</v>
      </c>
      <c r="H297" s="375">
        <f t="shared" si="98"/>
        <v>361.27539000000007</v>
      </c>
      <c r="I297" s="375">
        <f t="shared" si="98"/>
        <v>370.04625000000033</v>
      </c>
      <c r="J297" s="375">
        <f t="shared" si="98"/>
        <v>420.40810000000005</v>
      </c>
      <c r="K297" s="375">
        <f t="shared" si="98"/>
        <v>478.11199999999974</v>
      </c>
      <c r="L297" s="375">
        <f t="shared" si="98"/>
        <v>414.18327999999974</v>
      </c>
      <c r="M297" s="375">
        <f t="shared" si="98"/>
        <v>165.11841500000028</v>
      </c>
      <c r="N297" s="375">
        <f t="shared" si="98"/>
        <v>58.506524999999904</v>
      </c>
      <c r="O297" s="375">
        <f t="shared" si="98"/>
        <v>69.615314999999839</v>
      </c>
      <c r="P297" s="375">
        <f t="shared" si="98"/>
        <v>23.469545000000068</v>
      </c>
      <c r="Q297" s="375">
        <f t="shared" si="98"/>
        <v>5.4485999999999919</v>
      </c>
      <c r="R297" s="375">
        <f t="shared" si="98"/>
        <v>2.4545160000000021</v>
      </c>
      <c r="S297" s="375">
        <f t="shared" si="98"/>
        <v>0</v>
      </c>
      <c r="T297" s="375">
        <f t="shared" si="98"/>
        <v>0</v>
      </c>
      <c r="U297" s="375">
        <f t="shared" si="98"/>
        <v>0</v>
      </c>
      <c r="V297" s="375">
        <f t="shared" si="98"/>
        <v>0</v>
      </c>
      <c r="W297" s="375">
        <f t="shared" si="98"/>
        <v>0</v>
      </c>
      <c r="X297" s="375">
        <f t="shared" si="98"/>
        <v>0</v>
      </c>
      <c r="Y297" s="369"/>
    </row>
    <row r="298" spans="1:25" ht="13.5" thickBot="1" x14ac:dyDescent="0.25">
      <c r="A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318</v>
      </c>
      <c r="B299" s="359">
        <f>ROW(A299)</f>
        <v>299</v>
      </c>
      <c r="C299" s="363" t="s">
        <v>116</v>
      </c>
      <c r="D299" s="353">
        <f>SUM(B302:Y302)</f>
        <v>7412.4371409999985</v>
      </c>
      <c r="E299" s="363" t="s">
        <v>115</v>
      </c>
      <c r="F299" s="354">
        <f>D299/g/J299</f>
        <v>223.28608637999045</v>
      </c>
      <c r="G299" s="363" t="s">
        <v>57</v>
      </c>
      <c r="H299" s="64">
        <v>6.25</v>
      </c>
      <c r="I299" s="363" t="s">
        <v>270</v>
      </c>
      <c r="J299" s="355">
        <f>H299-L299</f>
        <v>3.3839999999999999</v>
      </c>
      <c r="K299" s="363" t="s">
        <v>271</v>
      </c>
      <c r="L299" s="64">
        <v>2.8660000000000001</v>
      </c>
      <c r="M299" s="363" t="s">
        <v>58</v>
      </c>
      <c r="N299" s="65">
        <v>290</v>
      </c>
      <c r="O299" s="363" t="s">
        <v>60</v>
      </c>
      <c r="P299" s="65">
        <v>290</v>
      </c>
      <c r="Q299" s="363" t="s">
        <v>61</v>
      </c>
      <c r="R299" s="65">
        <v>579</v>
      </c>
      <c r="S299" s="363" t="s">
        <v>62</v>
      </c>
      <c r="T299" s="65">
        <v>98</v>
      </c>
      <c r="U299" s="363" t="s">
        <v>55</v>
      </c>
      <c r="V299" s="66" t="s">
        <v>119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1.7000000000000001E-2</v>
      </c>
      <c r="D300" s="371">
        <v>5.1999999999999998E-2</v>
      </c>
      <c r="E300" s="371">
        <v>8.7999999999999995E-2</v>
      </c>
      <c r="F300" s="371">
        <v>0.108</v>
      </c>
      <c r="G300" s="371">
        <v>0.127</v>
      </c>
      <c r="H300" s="371">
        <v>0.17399999999999999</v>
      </c>
      <c r="I300" s="371">
        <v>0.25700000000000001</v>
      </c>
      <c r="J300" s="371">
        <v>0.40300000000000002</v>
      </c>
      <c r="K300" s="371">
        <v>0.76200000000000001</v>
      </c>
      <c r="L300" s="371">
        <v>0.97699999999999998</v>
      </c>
      <c r="M300" s="371">
        <v>1.341</v>
      </c>
      <c r="N300" s="371">
        <v>1.5009999999999999</v>
      </c>
      <c r="O300" s="371">
        <v>1.661</v>
      </c>
      <c r="P300" s="371">
        <v>1.96</v>
      </c>
      <c r="Q300" s="371">
        <v>2.4039999999999999</v>
      </c>
      <c r="R300" s="371">
        <v>2.641</v>
      </c>
      <c r="S300" s="371">
        <v>2.7160000000000002</v>
      </c>
      <c r="T300" s="371">
        <v>2.8210000000000002</v>
      </c>
      <c r="U300" s="371">
        <v>2.8919999999999999</v>
      </c>
      <c r="V300" s="371">
        <v>2.92</v>
      </c>
      <c r="W300" s="371">
        <v>2.97</v>
      </c>
      <c r="X300" s="371">
        <v>3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329.84699999999998</v>
      </c>
      <c r="D301" s="373">
        <v>1003.68</v>
      </c>
      <c r="E301" s="373">
        <v>2346.62</v>
      </c>
      <c r="F301" s="373">
        <v>2549.2399999999998</v>
      </c>
      <c r="G301" s="373">
        <v>2605.79</v>
      </c>
      <c r="H301" s="373">
        <v>2520.9699999999998</v>
      </c>
      <c r="I301" s="373">
        <v>2516.2600000000002</v>
      </c>
      <c r="J301" s="373">
        <v>2596.37</v>
      </c>
      <c r="K301" s="373">
        <v>2808.41</v>
      </c>
      <c r="L301" s="373">
        <v>2954.49</v>
      </c>
      <c r="M301" s="373">
        <v>2959.2</v>
      </c>
      <c r="N301" s="373">
        <v>2907.36</v>
      </c>
      <c r="O301" s="373">
        <v>2869.67</v>
      </c>
      <c r="P301" s="373">
        <v>2695.32</v>
      </c>
      <c r="Q301" s="373">
        <v>2351.34</v>
      </c>
      <c r="R301" s="373">
        <v>2228.8200000000002</v>
      </c>
      <c r="S301" s="373">
        <v>2007.35</v>
      </c>
      <c r="T301" s="373">
        <v>1427.77</v>
      </c>
      <c r="U301" s="373">
        <v>504.19400000000002</v>
      </c>
      <c r="V301" s="373">
        <v>334.55900000000003</v>
      </c>
      <c r="W301" s="373">
        <v>122.515</v>
      </c>
      <c r="X301" s="373">
        <v>0</v>
      </c>
      <c r="Y301" s="382">
        <v>0</v>
      </c>
    </row>
    <row r="302" spans="1:25" ht="13.5" thickBot="1" x14ac:dyDescent="0.25">
      <c r="A302" s="379" t="s">
        <v>117</v>
      </c>
      <c r="B302" s="374">
        <f t="shared" ref="B302:X302" si="99">(C301+B301)*(C300-B300)/2</f>
        <v>2.8036995</v>
      </c>
      <c r="C302" s="375">
        <f t="shared" si="99"/>
        <v>23.336722499999997</v>
      </c>
      <c r="D302" s="375">
        <f t="shared" si="99"/>
        <v>60.305399999999992</v>
      </c>
      <c r="E302" s="375">
        <f t="shared" si="99"/>
        <v>48.958600000000004</v>
      </c>
      <c r="F302" s="375">
        <f t="shared" si="99"/>
        <v>48.972785000000002</v>
      </c>
      <c r="G302" s="375">
        <f t="shared" si="99"/>
        <v>120.47885999999997</v>
      </c>
      <c r="H302" s="375">
        <f t="shared" si="99"/>
        <v>209.04504500000002</v>
      </c>
      <c r="I302" s="375">
        <f t="shared" si="99"/>
        <v>373.22199000000006</v>
      </c>
      <c r="J302" s="375">
        <f t="shared" si="99"/>
        <v>970.15800999999988</v>
      </c>
      <c r="K302" s="375">
        <f t="shared" si="99"/>
        <v>619.51174999999989</v>
      </c>
      <c r="L302" s="375">
        <f t="shared" si="99"/>
        <v>1076.2915799999998</v>
      </c>
      <c r="M302" s="375">
        <f t="shared" si="99"/>
        <v>469.3247999999997</v>
      </c>
      <c r="N302" s="375">
        <f t="shared" si="99"/>
        <v>462.16240000000045</v>
      </c>
      <c r="O302" s="375">
        <f t="shared" si="99"/>
        <v>831.96600499999977</v>
      </c>
      <c r="P302" s="375">
        <f t="shared" si="99"/>
        <v>1120.3585199999998</v>
      </c>
      <c r="Q302" s="375">
        <f t="shared" si="99"/>
        <v>542.74896000000024</v>
      </c>
      <c r="R302" s="375">
        <f t="shared" si="99"/>
        <v>158.85637500000038</v>
      </c>
      <c r="S302" s="375">
        <f t="shared" si="99"/>
        <v>180.34379999999996</v>
      </c>
      <c r="T302" s="375">
        <f t="shared" si="99"/>
        <v>68.584721999999744</v>
      </c>
      <c r="U302" s="375">
        <f t="shared" si="99"/>
        <v>11.742542000000011</v>
      </c>
      <c r="V302" s="375">
        <f t="shared" si="99"/>
        <v>11.42685000000006</v>
      </c>
      <c r="W302" s="375">
        <f t="shared" si="99"/>
        <v>1.8377249999999881</v>
      </c>
      <c r="X302" s="375">
        <f t="shared" si="99"/>
        <v>0</v>
      </c>
      <c r="Y302" s="369"/>
    </row>
    <row r="303" spans="1:25" ht="13.5" thickBo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5" thickBot="1" x14ac:dyDescent="0.25">
      <c r="A304" s="361" t="s">
        <v>552</v>
      </c>
      <c r="B304" s="359">
        <f>ROW(A304)</f>
        <v>304</v>
      </c>
      <c r="C304" s="363" t="s">
        <v>116</v>
      </c>
      <c r="D304" s="353">
        <f>SUM(B307:Y307)</f>
        <v>17734.977350500001</v>
      </c>
      <c r="E304" s="363" t="s">
        <v>115</v>
      </c>
      <c r="F304" s="354">
        <f>D304/g/J304</f>
        <v>192.73420306179892</v>
      </c>
      <c r="G304" s="363" t="s">
        <v>57</v>
      </c>
      <c r="H304" s="64">
        <v>14.747999999999999</v>
      </c>
      <c r="I304" s="363" t="s">
        <v>270</v>
      </c>
      <c r="J304" s="355">
        <f>H304-L304</f>
        <v>9.379999999999999</v>
      </c>
      <c r="K304" s="363" t="s">
        <v>271</v>
      </c>
      <c r="L304" s="64">
        <v>5.3680000000000003</v>
      </c>
      <c r="M304" s="363" t="s">
        <v>58</v>
      </c>
      <c r="N304" s="65">
        <v>500</v>
      </c>
      <c r="O304" s="363" t="s">
        <v>60</v>
      </c>
      <c r="P304" s="65">
        <v>500</v>
      </c>
      <c r="Q304" s="363" t="s">
        <v>61</v>
      </c>
      <c r="R304" s="65">
        <v>1046</v>
      </c>
      <c r="S304" s="363" t="s">
        <v>62</v>
      </c>
      <c r="T304" s="65">
        <v>98</v>
      </c>
      <c r="U304" s="363" t="s">
        <v>55</v>
      </c>
      <c r="V304" s="66" t="s">
        <v>119</v>
      </c>
      <c r="W304" s="12"/>
      <c r="X304" s="12"/>
      <c r="Y304" s="12"/>
    </row>
    <row r="305" spans="1:25" x14ac:dyDescent="0.2">
      <c r="A305" s="362" t="s">
        <v>33</v>
      </c>
      <c r="B305" s="370">
        <v>0</v>
      </c>
      <c r="C305" s="371">
        <v>3.0000000000000001E-3</v>
      </c>
      <c r="D305" s="371">
        <v>0.05</v>
      </c>
      <c r="E305" s="371">
        <v>7.8E-2</v>
      </c>
      <c r="F305" s="371">
        <v>0.121</v>
      </c>
      <c r="G305" s="371">
        <v>0.65200000000000002</v>
      </c>
      <c r="H305" s="371">
        <v>1.123</v>
      </c>
      <c r="I305" s="371">
        <v>1.655</v>
      </c>
      <c r="J305" s="371">
        <v>2.3530000000000002</v>
      </c>
      <c r="K305" s="371">
        <v>3.0350000000000001</v>
      </c>
      <c r="L305" s="371">
        <v>3.7</v>
      </c>
      <c r="M305" s="371">
        <v>3.7330000000000001</v>
      </c>
      <c r="N305" s="371">
        <v>3.887</v>
      </c>
      <c r="O305" s="371">
        <v>4.0359999999999996</v>
      </c>
      <c r="P305" s="371">
        <v>4.1970000000000001</v>
      </c>
      <c r="Q305" s="371">
        <v>4.2619999999999996</v>
      </c>
      <c r="R305" s="371">
        <v>4.3</v>
      </c>
      <c r="S305" s="371">
        <v>5</v>
      </c>
      <c r="T305" s="371">
        <v>5</v>
      </c>
      <c r="U305" s="371">
        <v>5</v>
      </c>
      <c r="V305" s="371">
        <v>5</v>
      </c>
      <c r="W305" s="371">
        <v>5</v>
      </c>
      <c r="X305" s="371">
        <v>5</v>
      </c>
      <c r="Y305" s="381">
        <v>1000</v>
      </c>
    </row>
    <row r="306" spans="1:25" x14ac:dyDescent="0.2">
      <c r="A306" s="378" t="s">
        <v>34</v>
      </c>
      <c r="B306" s="372">
        <v>0</v>
      </c>
      <c r="C306" s="373">
        <v>203.87700000000001</v>
      </c>
      <c r="D306" s="373">
        <v>2362.8789999999999</v>
      </c>
      <c r="E306" s="373">
        <v>3946.8449999999998</v>
      </c>
      <c r="F306" s="373">
        <v>4281.4120000000003</v>
      </c>
      <c r="G306" s="373">
        <v>4370.2809999999999</v>
      </c>
      <c r="H306" s="373">
        <v>4453.9229999999998</v>
      </c>
      <c r="I306" s="373">
        <v>4772.8069999999998</v>
      </c>
      <c r="J306" s="373">
        <v>4621.2060000000001</v>
      </c>
      <c r="K306" s="373">
        <v>4511.4269999999997</v>
      </c>
      <c r="L306" s="373">
        <v>4375.509</v>
      </c>
      <c r="M306" s="373">
        <v>4182.0870000000004</v>
      </c>
      <c r="N306" s="373">
        <v>2969.2820000000002</v>
      </c>
      <c r="O306" s="373">
        <v>1589.193</v>
      </c>
      <c r="P306" s="373">
        <v>533.21600000000001</v>
      </c>
      <c r="Q306" s="373">
        <v>240.47</v>
      </c>
      <c r="R306" s="373">
        <v>0</v>
      </c>
      <c r="S306" s="373">
        <v>0</v>
      </c>
      <c r="T306" s="373">
        <v>0</v>
      </c>
      <c r="U306" s="373">
        <v>0</v>
      </c>
      <c r="V306" s="373">
        <v>0</v>
      </c>
      <c r="W306" s="373">
        <v>0</v>
      </c>
      <c r="X306" s="373">
        <v>0</v>
      </c>
      <c r="Y306" s="382">
        <v>0</v>
      </c>
    </row>
    <row r="307" spans="1:25" ht="13.5" thickBot="1" x14ac:dyDescent="0.25">
      <c r="A307" s="379" t="s">
        <v>117</v>
      </c>
      <c r="B307" s="374">
        <f t="shared" ref="B307" si="100">(C306+B306)*(C305-B305)/2</f>
        <v>0.30581550000000002</v>
      </c>
      <c r="C307" s="375">
        <f t="shared" ref="C307" si="101">(D306+C306)*(D305-C305)/2</f>
        <v>60.318765999999997</v>
      </c>
      <c r="D307" s="375">
        <f t="shared" ref="D307" si="102">(E306+D306)*(E305-D305)/2</f>
        <v>88.336135999999996</v>
      </c>
      <c r="E307" s="375">
        <f t="shared" ref="E307" si="103">(F306+E306)*(F305-E305)/2</f>
        <v>176.90752549999999</v>
      </c>
      <c r="F307" s="375">
        <f t="shared" ref="F307" si="104">(G306+F306)*(G305-F305)/2</f>
        <v>2297.0244914999998</v>
      </c>
      <c r="G307" s="375">
        <f t="shared" ref="G307" si="105">(H306+G306)*(H305-G305)/2</f>
        <v>2078.100042</v>
      </c>
      <c r="H307" s="375">
        <f t="shared" ref="H307" si="106">(I306+H306)*(I305-H305)/2</f>
        <v>2454.3101799999999</v>
      </c>
      <c r="I307" s="375">
        <f t="shared" ref="I307" si="107">(J306+I306)*(J305-I305)/2</f>
        <v>3278.5105370000006</v>
      </c>
      <c r="J307" s="375">
        <f t="shared" ref="J307" si="108">(K306+J306)*(K305-J305)/2</f>
        <v>3114.2278529999999</v>
      </c>
      <c r="K307" s="375">
        <f t="shared" ref="K307" si="109">(L306+K306)*(L305-K305)/2</f>
        <v>2954.9062199999998</v>
      </c>
      <c r="L307" s="375">
        <f t="shared" ref="L307" si="110">(M306+L306)*(M305-L305)/2</f>
        <v>141.20033399999969</v>
      </c>
      <c r="M307" s="375">
        <f t="shared" ref="M307" si="111">(N306+M306)*(N305-M305)/2</f>
        <v>550.65541299999973</v>
      </c>
      <c r="N307" s="375">
        <f t="shared" ref="N307" si="112">(O306+N306)*(O305-N305)/2</f>
        <v>339.60638749999907</v>
      </c>
      <c r="O307" s="375">
        <f t="shared" ref="O307" si="113">(P306+O306)*(P305-O305)/2</f>
        <v>170.85392450000052</v>
      </c>
      <c r="P307" s="375">
        <f t="shared" ref="P307" si="114">(Q306+P306)*(Q305-P305)/2</f>
        <v>25.14479499999981</v>
      </c>
      <c r="Q307" s="375">
        <f t="shared" ref="Q307" si="115">(R306+Q306)*(R305-Q305)/2</f>
        <v>4.568930000000031</v>
      </c>
      <c r="R307" s="375">
        <f t="shared" ref="R307" si="116">(S306+R306)*(S305-R305)/2</f>
        <v>0</v>
      </c>
      <c r="S307" s="375">
        <f t="shared" ref="S307" si="117">(T306+S306)*(T305-S305)/2</f>
        <v>0</v>
      </c>
      <c r="T307" s="375">
        <f t="shared" ref="T307" si="118">(U306+T306)*(U305-T305)/2</f>
        <v>0</v>
      </c>
      <c r="U307" s="375">
        <f t="shared" ref="U307" si="119">(V306+U306)*(V305-U305)/2</f>
        <v>0</v>
      </c>
      <c r="V307" s="375">
        <f t="shared" ref="V307" si="120">(W306+V306)*(W305-V305)/2</f>
        <v>0</v>
      </c>
      <c r="W307" s="375">
        <f t="shared" ref="W307" si="121">(X306+W306)*(X305-W305)/2</f>
        <v>0</v>
      </c>
      <c r="X307" s="375">
        <f t="shared" ref="X307" si="122">(Y306+X306)*(Y305-X305)/2</f>
        <v>0</v>
      </c>
      <c r="Y307" s="369"/>
    </row>
    <row r="308" spans="1:25" ht="13.5" thickBo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5" thickBot="1" x14ac:dyDescent="0.25">
      <c r="A309" s="361" t="s">
        <v>45</v>
      </c>
      <c r="B309" s="359">
        <f>ROW(A309)</f>
        <v>309</v>
      </c>
      <c r="C309" s="363" t="s">
        <v>116</v>
      </c>
      <c r="D309" s="353">
        <f>SUM(B312:Y312)</f>
        <v>1E-3</v>
      </c>
      <c r="E309" s="363" t="s">
        <v>115</v>
      </c>
      <c r="F309" s="354">
        <f>D309/g/J309</f>
        <v>1.019367991845056</v>
      </c>
      <c r="G309" s="363" t="s">
        <v>57</v>
      </c>
      <c r="H309" s="64">
        <v>1E-4</v>
      </c>
      <c r="I309" s="363" t="s">
        <v>270</v>
      </c>
      <c r="J309" s="355">
        <f>H309-L309</f>
        <v>1E-4</v>
      </c>
      <c r="K309" s="363" t="s">
        <v>271</v>
      </c>
      <c r="L309" s="64">
        <v>0</v>
      </c>
      <c r="M309" s="363" t="s">
        <v>58</v>
      </c>
      <c r="N309" s="65">
        <v>0</v>
      </c>
      <c r="O309" s="363" t="s">
        <v>60</v>
      </c>
      <c r="P309" s="65">
        <v>0</v>
      </c>
      <c r="Q309" s="363" t="s">
        <v>61</v>
      </c>
      <c r="R309" s="65">
        <v>0</v>
      </c>
      <c r="S309" s="363" t="s">
        <v>62</v>
      </c>
      <c r="T309" s="65">
        <v>0</v>
      </c>
      <c r="U309" s="363" t="s">
        <v>55</v>
      </c>
      <c r="V309" s="66" t="s">
        <v>119</v>
      </c>
      <c r="W309" s="12"/>
      <c r="X309" s="12"/>
      <c r="Y309" s="12"/>
    </row>
    <row r="310" spans="1:25" x14ac:dyDescent="0.2">
      <c r="A310" s="362" t="s">
        <v>33</v>
      </c>
      <c r="B310" s="370">
        <v>0</v>
      </c>
      <c r="C310" s="371">
        <v>0.1</v>
      </c>
      <c r="D310" s="371">
        <v>0.2</v>
      </c>
      <c r="E310" s="371">
        <v>1</v>
      </c>
      <c r="F310" s="371">
        <v>1</v>
      </c>
      <c r="G310" s="371">
        <v>1</v>
      </c>
      <c r="H310" s="371">
        <v>1</v>
      </c>
      <c r="I310" s="371">
        <v>1</v>
      </c>
      <c r="J310" s="371">
        <v>1</v>
      </c>
      <c r="K310" s="371">
        <v>1</v>
      </c>
      <c r="L310" s="371">
        <v>1</v>
      </c>
      <c r="M310" s="371">
        <v>1</v>
      </c>
      <c r="N310" s="371">
        <v>1</v>
      </c>
      <c r="O310" s="371">
        <v>1</v>
      </c>
      <c r="P310" s="371">
        <v>1</v>
      </c>
      <c r="Q310" s="371">
        <v>1</v>
      </c>
      <c r="R310" s="371">
        <v>1</v>
      </c>
      <c r="S310" s="371">
        <v>1</v>
      </c>
      <c r="T310" s="371">
        <v>1</v>
      </c>
      <c r="U310" s="371">
        <v>1</v>
      </c>
      <c r="V310" s="371">
        <v>1</v>
      </c>
      <c r="W310" s="371">
        <v>1</v>
      </c>
      <c r="X310" s="371">
        <v>1</v>
      </c>
      <c r="Y310" s="381">
        <v>1000</v>
      </c>
    </row>
    <row r="311" spans="1:25" x14ac:dyDescent="0.2">
      <c r="A311" s="378" t="s">
        <v>34</v>
      </c>
      <c r="B311" s="372">
        <v>0</v>
      </c>
      <c r="C311" s="373">
        <v>0.01</v>
      </c>
      <c r="D311" s="373">
        <v>0</v>
      </c>
      <c r="E311" s="373">
        <v>0</v>
      </c>
      <c r="F311" s="373">
        <v>0</v>
      </c>
      <c r="G311" s="373">
        <v>0</v>
      </c>
      <c r="H311" s="373">
        <v>0</v>
      </c>
      <c r="I311" s="373">
        <v>0</v>
      </c>
      <c r="J311" s="373">
        <v>0</v>
      </c>
      <c r="K311" s="373">
        <v>0</v>
      </c>
      <c r="L311" s="373">
        <v>0</v>
      </c>
      <c r="M311" s="373">
        <v>0</v>
      </c>
      <c r="N311" s="373">
        <v>0</v>
      </c>
      <c r="O311" s="373">
        <v>0</v>
      </c>
      <c r="P311" s="373">
        <v>0</v>
      </c>
      <c r="Q311" s="373">
        <v>0</v>
      </c>
      <c r="R311" s="373">
        <v>0</v>
      </c>
      <c r="S311" s="373">
        <v>0</v>
      </c>
      <c r="T311" s="373">
        <v>0</v>
      </c>
      <c r="U311" s="373">
        <v>0</v>
      </c>
      <c r="V311" s="373">
        <v>0</v>
      </c>
      <c r="W311" s="373">
        <v>0</v>
      </c>
      <c r="X311" s="373">
        <v>0</v>
      </c>
      <c r="Y311" s="382">
        <v>0</v>
      </c>
    </row>
    <row r="312" spans="1:25" ht="13.5" thickBot="1" x14ac:dyDescent="0.25">
      <c r="A312" s="379" t="s">
        <v>117</v>
      </c>
      <c r="B312" s="374">
        <f t="shared" ref="B312:G312" si="123">(C311+B311)*(C310-B310)/2</f>
        <v>5.0000000000000001E-4</v>
      </c>
      <c r="C312" s="375">
        <f t="shared" si="123"/>
        <v>5.0000000000000001E-4</v>
      </c>
      <c r="D312" s="375">
        <f t="shared" si="123"/>
        <v>0</v>
      </c>
      <c r="E312" s="375">
        <f t="shared" si="123"/>
        <v>0</v>
      </c>
      <c r="F312" s="375">
        <f t="shared" si="123"/>
        <v>0</v>
      </c>
      <c r="G312" s="375">
        <f t="shared" si="123"/>
        <v>0</v>
      </c>
      <c r="H312" s="375">
        <f t="shared" ref="H312:V312" si="124">(I311+H311)*(I310-H310)/2</f>
        <v>0</v>
      </c>
      <c r="I312" s="375">
        <f t="shared" si="124"/>
        <v>0</v>
      </c>
      <c r="J312" s="375">
        <f>(K311+J311)*(K310-J310)/2</f>
        <v>0</v>
      </c>
      <c r="K312" s="375">
        <f t="shared" si="124"/>
        <v>0</v>
      </c>
      <c r="L312" s="375">
        <f t="shared" si="124"/>
        <v>0</v>
      </c>
      <c r="M312" s="375">
        <f t="shared" si="124"/>
        <v>0</v>
      </c>
      <c r="N312" s="375">
        <f t="shared" si="124"/>
        <v>0</v>
      </c>
      <c r="O312" s="375">
        <f t="shared" si="124"/>
        <v>0</v>
      </c>
      <c r="P312" s="375">
        <f t="shared" si="124"/>
        <v>0</v>
      </c>
      <c r="Q312" s="375">
        <f t="shared" si="124"/>
        <v>0</v>
      </c>
      <c r="R312" s="375">
        <f t="shared" si="124"/>
        <v>0</v>
      </c>
      <c r="S312" s="375">
        <f>(T311+S311)*(T310-S310)/2</f>
        <v>0</v>
      </c>
      <c r="T312" s="375">
        <f t="shared" si="124"/>
        <v>0</v>
      </c>
      <c r="U312" s="375">
        <f t="shared" si="124"/>
        <v>0</v>
      </c>
      <c r="V312" s="375">
        <f t="shared" si="124"/>
        <v>0</v>
      </c>
      <c r="W312" s="375">
        <f>(X311+W311)*(X310-W310)/2</f>
        <v>0</v>
      </c>
      <c r="X312" s="375">
        <f>(Y311+X311)*(Y310-X310)/2</f>
        <v>0</v>
      </c>
      <c r="Y312" s="369"/>
    </row>
    <row r="314" spans="1:25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6" spans="1:25" x14ac:dyDescent="0.2">
      <c r="A316" s="397" t="str">
        <f>IF(Lang="Français","Liste des propu affichés :","Motor list (shown):")</f>
        <v>Liste des propu affichés :</v>
      </c>
      <c r="C316" s="632" t="s">
        <v>275</v>
      </c>
      <c r="D316" s="633"/>
      <c r="F316" s="632" t="s">
        <v>182</v>
      </c>
      <c r="G316" s="633"/>
      <c r="H316" s="12"/>
      <c r="I316" s="632" t="s">
        <v>397</v>
      </c>
      <c r="J316" s="633"/>
      <c r="K316" s="12"/>
      <c r="L316" s="632" t="s">
        <v>183</v>
      </c>
      <c r="M316" s="633"/>
      <c r="O316" s="632" t="s">
        <v>396</v>
      </c>
      <c r="P316" s="633"/>
      <c r="R316" s="632" t="s">
        <v>119</v>
      </c>
      <c r="S316" s="633"/>
    </row>
    <row r="317" spans="1:25" x14ac:dyDescent="0.2">
      <c r="A317" s="398" t="str">
        <f t="array" ref="A317:A346">IF(RIGHT(Type_fusee,1)=".",Liste_fusex, IF(LEFT(Type_fusee,4)="Mini",Liste_minif, IF(LEFT(Type_fusee,5)="Micro",Liste_µfu, IF(RIGHT(Type_fusee,1)=" ",Liste_H2O, IF(LEFT(Type_fusee,1)="R",Liste_RC, IF(LEFT(Type_fusee,1)=",",Liste_minifT))))))</f>
        <v>p29-1G 56F31</v>
      </c>
      <c r="C317" s="634" t="str">
        <f>A26</f>
        <v>H2O 1.5L 300g 6bar</v>
      </c>
      <c r="D317" s="635"/>
      <c r="F317" s="634" t="str">
        <f>A67</f>
        <v>µ-propu A8-3</v>
      </c>
      <c r="G317" s="635"/>
      <c r="H317" s="473"/>
      <c r="I317" s="636" t="str">
        <f>A148</f>
        <v>p29-1G 56F31</v>
      </c>
      <c r="J317" s="637"/>
      <c r="K317" s="473"/>
      <c r="L317" s="636" t="str">
        <f>A148</f>
        <v>p29-1G 56F31</v>
      </c>
      <c r="M317" s="637"/>
      <c r="O317" s="634" t="str">
        <f>A108</f>
        <v>p24-1G 24E22</v>
      </c>
      <c r="P317" s="635"/>
      <c r="R317" s="634" t="str">
        <f>A279</f>
        <v>Barasinga (Pro54-5G C)</v>
      </c>
      <c r="S317" s="635"/>
    </row>
    <row r="318" spans="1:25" x14ac:dyDescent="0.2">
      <c r="A318" s="398" t="str">
        <v>p29-1G 56F120</v>
      </c>
      <c r="C318" s="634" t="str">
        <f>A31</f>
        <v>H2O 1.5L 450g 6bar</v>
      </c>
      <c r="D318" s="635"/>
      <c r="F318" s="634" t="str">
        <f>A72</f>
        <v>µ-propu B4-4</v>
      </c>
      <c r="G318" s="635"/>
      <c r="H318" s="473"/>
      <c r="I318" s="636" t="str">
        <f>A153</f>
        <v>p29-1G 56F120</v>
      </c>
      <c r="J318" s="637"/>
      <c r="K318" s="473"/>
      <c r="L318" s="636" t="str">
        <f>A153</f>
        <v>p29-1G 56F120</v>
      </c>
      <c r="M318" s="637"/>
      <c r="O318" s="634" t="str">
        <f>A113</f>
        <v>p24-1G 25E75 (Rufina)</v>
      </c>
      <c r="P318" s="635"/>
      <c r="R318" s="634" t="str">
        <f>A289</f>
        <v>Orignal (Pro75-3G C)</v>
      </c>
      <c r="S318" s="635"/>
    </row>
    <row r="319" spans="1:25" x14ac:dyDescent="0.2">
      <c r="A319" s="398" t="str">
        <v>p29-1G 57F59</v>
      </c>
      <c r="C319" s="634" t="str">
        <f>A36</f>
        <v>H2O 1.5L 600g 6bar</v>
      </c>
      <c r="D319" s="635"/>
      <c r="F319" s="634" t="str">
        <f>A77</f>
        <v>µ-propu C6-3</v>
      </c>
      <c r="G319" s="635"/>
      <c r="H319" s="473"/>
      <c r="I319" s="636" t="str">
        <f>A158</f>
        <v>p29-1G 57F59</v>
      </c>
      <c r="J319" s="637"/>
      <c r="K319" s="473"/>
      <c r="L319" s="636" t="str">
        <f>A158</f>
        <v>p29-1G 57F59</v>
      </c>
      <c r="M319" s="637"/>
      <c r="O319" s="634" t="str">
        <f>A118</f>
        <v>p24-1G 26E31</v>
      </c>
      <c r="P319" s="635"/>
      <c r="R319" s="634" t="s">
        <v>184</v>
      </c>
      <c r="S319" s="635"/>
    </row>
    <row r="320" spans="1:25" x14ac:dyDescent="0.2">
      <c r="A320" s="398" t="str">
        <v>p29-2G 116G126</v>
      </c>
      <c r="C320" s="634" t="str">
        <f>A41</f>
        <v>H2O 1.5L 750g 6bar</v>
      </c>
      <c r="D320" s="635"/>
      <c r="F320" s="634" t="str">
        <f>A82</f>
        <v>µ-propu C6-3 x2</v>
      </c>
      <c r="G320" s="635"/>
      <c r="H320" s="473"/>
      <c r="I320" s="636" t="str">
        <f>A183</f>
        <v>p24-3G 74F85</v>
      </c>
      <c r="J320" s="637"/>
      <c r="K320" s="473"/>
      <c r="L320" s="636" t="str">
        <f>A228</f>
        <v>p29-2G 116G126</v>
      </c>
      <c r="M320" s="637"/>
      <c r="O320" s="634" t="str">
        <f>A123</f>
        <v>p24-2G 50E51</v>
      </c>
      <c r="P320" s="635"/>
      <c r="R320" s="634" t="s">
        <v>184</v>
      </c>
      <c r="S320" s="635"/>
    </row>
    <row r="321" spans="1:19" x14ac:dyDescent="0.2">
      <c r="A321" s="398" t="str">
        <v xml:space="preserve"> </v>
      </c>
      <c r="C321" s="634" t="str">
        <f>A46</f>
        <v>H2O 2.0L 400g 6bar</v>
      </c>
      <c r="D321" s="635"/>
      <c r="F321" s="634" t="str">
        <f>A87</f>
        <v>µ-propu C6-3 x3</v>
      </c>
      <c r="G321" s="635"/>
      <c r="H321" s="473"/>
      <c r="I321" s="636" t="str">
        <f>A188</f>
        <v>p24-3G 75F51</v>
      </c>
      <c r="J321" s="637"/>
      <c r="K321" s="473"/>
      <c r="L321" s="636" t="s">
        <v>184</v>
      </c>
      <c r="M321" s="637"/>
      <c r="O321" s="634" t="str">
        <f>A128</f>
        <v>p24-1G 53E70</v>
      </c>
      <c r="P321" s="635"/>
      <c r="R321" s="634" t="s">
        <v>184</v>
      </c>
      <c r="S321" s="635"/>
    </row>
    <row r="322" spans="1:19" x14ac:dyDescent="0.2">
      <c r="A322" s="398" t="str">
        <v>Pandora (Pro24-6G BS)</v>
      </c>
      <c r="C322" s="634" t="str">
        <f>A51</f>
        <v>H2O 2.0L 600g 6bar</v>
      </c>
      <c r="D322" s="635"/>
      <c r="F322" s="634" t="s">
        <v>184</v>
      </c>
      <c r="G322" s="635"/>
      <c r="H322" s="473"/>
      <c r="I322" s="636" t="s">
        <v>184</v>
      </c>
      <c r="J322" s="637"/>
      <c r="K322" s="473"/>
      <c r="L322" s="634" t="str">
        <f>A198</f>
        <v>Pandora (Pro24-6G BS)</v>
      </c>
      <c r="M322" s="635"/>
      <c r="O322" s="634" t="str">
        <f>A133</f>
        <v>p29-1G 41F36</v>
      </c>
      <c r="P322" s="635"/>
      <c r="R322" s="634" t="s">
        <v>184</v>
      </c>
      <c r="S322" s="635"/>
    </row>
    <row r="323" spans="1:19" x14ac:dyDescent="0.2">
      <c r="A323" s="398" t="str">
        <v xml:space="preserve"> </v>
      </c>
      <c r="C323" s="634" t="str">
        <f>A56</f>
        <v>H2O 2.0L 800g 6bar</v>
      </c>
      <c r="D323" s="635"/>
      <c r="F323" s="634" t="s">
        <v>184</v>
      </c>
      <c r="G323" s="635"/>
      <c r="H323" s="473"/>
      <c r="I323" s="636" t="s">
        <v>184</v>
      </c>
      <c r="J323" s="637"/>
      <c r="K323" s="473"/>
      <c r="L323" s="634" t="s">
        <v>184</v>
      </c>
      <c r="M323" s="635"/>
      <c r="O323" s="634" t="str">
        <f>A138</f>
        <v>p29-1G 51F36</v>
      </c>
      <c r="P323" s="635"/>
      <c r="R323" s="634" t="s">
        <v>184</v>
      </c>
      <c r="S323" s="635"/>
    </row>
    <row r="324" spans="1:19" x14ac:dyDescent="0.2">
      <c r="A324" s="398" t="str">
        <v>Klima D9-7</v>
      </c>
      <c r="C324" s="634" t="str">
        <f>A61</f>
        <v>H2O 2.0L 1000g 6bar</v>
      </c>
      <c r="D324" s="635"/>
      <c r="F324" s="634" t="s">
        <v>184</v>
      </c>
      <c r="G324" s="635"/>
      <c r="H324" s="473"/>
      <c r="I324" s="636" t="s">
        <v>184</v>
      </c>
      <c r="J324" s="637"/>
      <c r="K324" s="473"/>
      <c r="L324" s="634" t="str">
        <f>A92</f>
        <v>Klima D9-7</v>
      </c>
      <c r="M324" s="635"/>
      <c r="O324" s="634" t="str">
        <f>A143</f>
        <v>p29-1G 55F29</v>
      </c>
      <c r="P324" s="635"/>
      <c r="R324" s="634" t="s">
        <v>184</v>
      </c>
      <c r="S324" s="635"/>
    </row>
    <row r="325" spans="1:19" x14ac:dyDescent="0.2">
      <c r="A325" s="398" t="str">
        <v>Klima D9-7 x2</v>
      </c>
      <c r="C325" s="634" t="s">
        <v>184</v>
      </c>
      <c r="D325" s="635"/>
      <c r="F325" s="634" t="s">
        <v>184</v>
      </c>
      <c r="G325" s="635"/>
      <c r="H325" s="473"/>
      <c r="I325" s="636" t="s">
        <v>184</v>
      </c>
      <c r="J325" s="637"/>
      <c r="K325" s="473"/>
      <c r="L325" s="634" t="str">
        <f>A97</f>
        <v>Klima D9-7 x2</v>
      </c>
      <c r="M325" s="635"/>
      <c r="O325" s="634" t="str">
        <f>A153</f>
        <v>p29-1G 56F120</v>
      </c>
      <c r="P325" s="635"/>
      <c r="R325" s="634" t="s">
        <v>184</v>
      </c>
      <c r="S325" s="635"/>
    </row>
    <row r="326" spans="1:19" x14ac:dyDescent="0.2">
      <c r="A326" s="398" t="str">
        <v>Klima D9-7 x3</v>
      </c>
      <c r="C326" s="634" t="s">
        <v>184</v>
      </c>
      <c r="D326" s="635"/>
      <c r="F326" s="634" t="s">
        <v>184</v>
      </c>
      <c r="G326" s="635"/>
      <c r="H326" s="473"/>
      <c r="I326" s="636" t="s">
        <v>184</v>
      </c>
      <c r="J326" s="637"/>
      <c r="K326" s="473"/>
      <c r="L326" s="634" t="str">
        <f>A102</f>
        <v>Klima D9-7 x3</v>
      </c>
      <c r="M326" s="635"/>
      <c r="O326" s="634" t="str">
        <f>A158</f>
        <v>p29-1G 57F59</v>
      </c>
      <c r="P326" s="635"/>
      <c r="R326" s="634" t="s">
        <v>184</v>
      </c>
      <c r="S326" s="635"/>
    </row>
    <row r="327" spans="1:19" x14ac:dyDescent="0.2">
      <c r="A327" s="398" t="str">
        <v xml:space="preserve"> </v>
      </c>
      <c r="C327" s="634" t="s">
        <v>184</v>
      </c>
      <c r="D327" s="635"/>
      <c r="F327" s="634" t="s">
        <v>184</v>
      </c>
      <c r="G327" s="635"/>
      <c r="H327" s="473"/>
      <c r="I327" s="636" t="s">
        <v>184</v>
      </c>
      <c r="J327" s="637"/>
      <c r="K327" s="473"/>
      <c r="L327" s="634" t="s">
        <v>184</v>
      </c>
      <c r="M327" s="635"/>
      <c r="O327" s="634" t="str">
        <f>A163</f>
        <v>p24-3G 60F50</v>
      </c>
      <c r="P327" s="635"/>
      <c r="R327" s="634" t="s">
        <v>184</v>
      </c>
      <c r="S327" s="635"/>
    </row>
    <row r="328" spans="1:19" x14ac:dyDescent="0.2">
      <c r="A328" s="398" t="str">
        <v xml:space="preserve"> </v>
      </c>
      <c r="C328" s="634" t="s">
        <v>184</v>
      </c>
      <c r="D328" s="635"/>
      <c r="F328" s="634" t="s">
        <v>184</v>
      </c>
      <c r="G328" s="635"/>
      <c r="H328" s="473"/>
      <c r="I328" s="636" t="s">
        <v>184</v>
      </c>
      <c r="J328" s="637"/>
      <c r="K328" s="473"/>
      <c r="L328" s="634" t="s">
        <v>184</v>
      </c>
      <c r="M328" s="635"/>
      <c r="O328" s="634" t="str">
        <f>A168</f>
        <v>p24-3G 68F79</v>
      </c>
      <c r="P328" s="635"/>
      <c r="R328" s="634" t="s">
        <v>184</v>
      </c>
      <c r="S328" s="635"/>
    </row>
    <row r="329" spans="1:19" x14ac:dyDescent="0.2">
      <c r="A329" s="398" t="str">
        <v xml:space="preserve"> </v>
      </c>
      <c r="C329" s="634" t="s">
        <v>184</v>
      </c>
      <c r="D329" s="635"/>
      <c r="F329" s="634" t="s">
        <v>184</v>
      </c>
      <c r="G329" s="635"/>
      <c r="H329" s="473"/>
      <c r="I329" s="636" t="s">
        <v>184</v>
      </c>
      <c r="J329" s="637"/>
      <c r="K329" s="473"/>
      <c r="L329" s="634" t="s">
        <v>184</v>
      </c>
      <c r="M329" s="635"/>
      <c r="O329" s="634" t="str">
        <f>A173</f>
        <v>p24-3G 68F240</v>
      </c>
      <c r="P329" s="635"/>
      <c r="R329" s="634" t="s">
        <v>184</v>
      </c>
      <c r="S329" s="635"/>
    </row>
    <row r="330" spans="1:19" x14ac:dyDescent="0.2">
      <c r="A330" s="398" t="str">
        <v xml:space="preserve"> </v>
      </c>
      <c r="C330" s="634" t="s">
        <v>184</v>
      </c>
      <c r="D330" s="635"/>
      <c r="F330" s="634" t="s">
        <v>184</v>
      </c>
      <c r="G330" s="635"/>
      <c r="H330" s="473"/>
      <c r="I330" s="636" t="s">
        <v>184</v>
      </c>
      <c r="J330" s="637"/>
      <c r="K330" s="473"/>
      <c r="L330" s="634" t="s">
        <v>184</v>
      </c>
      <c r="M330" s="635"/>
      <c r="O330" s="634" t="str">
        <f>A178</f>
        <v>p24-3G 73F30</v>
      </c>
      <c r="P330" s="635"/>
      <c r="R330" s="634" t="s">
        <v>184</v>
      </c>
      <c r="S330" s="635"/>
    </row>
    <row r="331" spans="1:19" x14ac:dyDescent="0.2">
      <c r="A331" s="398" t="str">
        <v xml:space="preserve"> </v>
      </c>
      <c r="C331" s="634" t="s">
        <v>184</v>
      </c>
      <c r="D331" s="635"/>
      <c r="F331" s="634" t="s">
        <v>184</v>
      </c>
      <c r="G331" s="635"/>
      <c r="H331" s="473"/>
      <c r="I331" s="640" t="s">
        <v>184</v>
      </c>
      <c r="J331" s="641"/>
      <c r="K331" s="473"/>
      <c r="L331" s="634" t="s">
        <v>184</v>
      </c>
      <c r="M331" s="635"/>
      <c r="O331" s="634" t="str">
        <f>A183</f>
        <v>p24-3G 74F85</v>
      </c>
      <c r="P331" s="635"/>
      <c r="R331" s="634" t="s">
        <v>184</v>
      </c>
      <c r="S331" s="635"/>
    </row>
    <row r="332" spans="1:19" x14ac:dyDescent="0.2">
      <c r="A332" s="462" t="str">
        <v xml:space="preserve"> </v>
      </c>
      <c r="C332" s="638" t="s">
        <v>184</v>
      </c>
      <c r="D332" s="639"/>
      <c r="F332" s="638" t="s">
        <v>184</v>
      </c>
      <c r="G332" s="639"/>
      <c r="H332" s="473"/>
      <c r="I332" s="638" t="s">
        <v>184</v>
      </c>
      <c r="J332" s="639"/>
      <c r="K332" s="473"/>
      <c r="L332" s="638" t="s">
        <v>184</v>
      </c>
      <c r="M332" s="639"/>
      <c r="O332" s="634" t="str">
        <f>A188</f>
        <v>p24-3G 75F51</v>
      </c>
      <c r="P332" s="635"/>
      <c r="R332" s="638" t="s">
        <v>184</v>
      </c>
      <c r="S332" s="639"/>
    </row>
    <row r="333" spans="1:19" x14ac:dyDescent="0.2">
      <c r="A333" s="398" t="str">
        <v xml:space="preserve"> </v>
      </c>
      <c r="C333" s="629" t="s">
        <v>184</v>
      </c>
      <c r="D333" s="629"/>
      <c r="F333" s="629" t="s">
        <v>184</v>
      </c>
      <c r="G333" s="629"/>
      <c r="I333" s="631" t="s">
        <v>184</v>
      </c>
      <c r="J333" s="631"/>
      <c r="L333" s="631" t="s">
        <v>184</v>
      </c>
      <c r="M333" s="631"/>
      <c r="O333" s="634" t="str">
        <f>A213</f>
        <v>p29-2G 84G88</v>
      </c>
      <c r="P333" s="635"/>
      <c r="R333" s="643" t="s">
        <v>184</v>
      </c>
      <c r="S333" s="643"/>
    </row>
    <row r="334" spans="1:19" x14ac:dyDescent="0.2">
      <c r="A334" s="398" t="str">
        <v xml:space="preserve"> </v>
      </c>
      <c r="C334" s="630" t="s">
        <v>184</v>
      </c>
      <c r="D334" s="630"/>
      <c r="F334" s="630" t="s">
        <v>184</v>
      </c>
      <c r="G334" s="630"/>
      <c r="I334" s="631" t="s">
        <v>184</v>
      </c>
      <c r="J334" s="631"/>
      <c r="L334" s="631" t="s">
        <v>184</v>
      </c>
      <c r="M334" s="631"/>
      <c r="O334" s="634" t="str">
        <f>A218</f>
        <v>p29-2G 93G80</v>
      </c>
      <c r="P334" s="635"/>
      <c r="R334" s="642" t="str">
        <f>A269</f>
        <v>Isard</v>
      </c>
      <c r="S334" s="642"/>
    </row>
    <row r="335" spans="1:19" x14ac:dyDescent="0.2">
      <c r="A335" s="398" t="str">
        <v xml:space="preserve"> </v>
      </c>
      <c r="C335" s="630" t="s">
        <v>184</v>
      </c>
      <c r="D335" s="630"/>
      <c r="F335" s="630" t="s">
        <v>184</v>
      </c>
      <c r="G335" s="630"/>
      <c r="I335" s="631" t="s">
        <v>184</v>
      </c>
      <c r="J335" s="631"/>
      <c r="L335" s="631" t="s">
        <v>184</v>
      </c>
      <c r="M335" s="631"/>
      <c r="O335" s="634" t="str">
        <f>A223</f>
        <v>p29-2G 110G250</v>
      </c>
      <c r="P335" s="635"/>
      <c r="R335" s="642" t="str">
        <f>A274</f>
        <v>Chamois</v>
      </c>
      <c r="S335" s="642"/>
    </row>
    <row r="336" spans="1:19" x14ac:dyDescent="0.2">
      <c r="A336" s="398" t="str">
        <v xml:space="preserve"> </v>
      </c>
      <c r="C336" s="630" t="s">
        <v>184</v>
      </c>
      <c r="D336" s="630"/>
      <c r="F336" s="630" t="s">
        <v>184</v>
      </c>
      <c r="G336" s="630"/>
      <c r="I336" s="631" t="s">
        <v>184</v>
      </c>
      <c r="J336" s="631"/>
      <c r="L336" s="631" t="s">
        <v>184</v>
      </c>
      <c r="M336" s="631"/>
      <c r="O336" s="634" t="str">
        <f>A228</f>
        <v>p29-2G 116G126</v>
      </c>
      <c r="P336" s="635"/>
      <c r="R336" s="642" t="str">
        <f>A284</f>
        <v>Pro75-2G</v>
      </c>
      <c r="S336" s="642"/>
    </row>
    <row r="337" spans="1:19" x14ac:dyDescent="0.2">
      <c r="A337" s="398" t="str">
        <v xml:space="preserve"> </v>
      </c>
      <c r="C337" s="630" t="s">
        <v>184</v>
      </c>
      <c r="D337" s="630"/>
      <c r="F337" s="630" t="s">
        <v>184</v>
      </c>
      <c r="G337" s="630"/>
      <c r="I337" s="631" t="s">
        <v>184</v>
      </c>
      <c r="J337" s="631"/>
      <c r="L337" s="631" t="s">
        <v>184</v>
      </c>
      <c r="M337" s="631"/>
      <c r="O337" s="634" t="str">
        <f>A233</f>
        <v>p29-3G 125G131</v>
      </c>
      <c r="P337" s="635"/>
      <c r="R337" s="642" t="str">
        <f>A294</f>
        <v>Pro98-2G WT</v>
      </c>
      <c r="S337" s="642"/>
    </row>
    <row r="338" spans="1:19" x14ac:dyDescent="0.2">
      <c r="A338" s="398" t="str">
        <v xml:space="preserve"> </v>
      </c>
      <c r="C338" s="630" t="s">
        <v>184</v>
      </c>
      <c r="D338" s="630"/>
      <c r="F338" s="630" t="s">
        <v>184</v>
      </c>
      <c r="G338" s="630"/>
      <c r="I338" s="631" t="s">
        <v>184</v>
      </c>
      <c r="J338" s="631"/>
      <c r="L338" s="631" t="s">
        <v>184</v>
      </c>
      <c r="M338" s="631"/>
      <c r="O338" s="634" t="str">
        <f>A248</f>
        <v>p38-1G 128G185</v>
      </c>
      <c r="P338" s="635"/>
      <c r="R338" s="642" t="str">
        <f>A299</f>
        <v>Pro98-3G WT</v>
      </c>
      <c r="S338" s="642"/>
    </row>
    <row r="339" spans="1:19" x14ac:dyDescent="0.2">
      <c r="A339" s="398" t="str">
        <v xml:space="preserve"> </v>
      </c>
      <c r="C339" s="630" t="s">
        <v>184</v>
      </c>
      <c r="D339" s="630"/>
      <c r="F339" s="630" t="s">
        <v>184</v>
      </c>
      <c r="G339" s="630"/>
      <c r="I339" s="631" t="s">
        <v>184</v>
      </c>
      <c r="J339" s="631"/>
      <c r="L339" s="631" t="s">
        <v>184</v>
      </c>
      <c r="M339" s="631"/>
      <c r="O339" s="634" t="str">
        <f>A243</f>
        <v>p38-1G 137G58</v>
      </c>
      <c r="P339" s="635"/>
      <c r="R339" s="642" t="str">
        <f>A309</f>
        <v>Aucun (2e ét. inerte)</v>
      </c>
      <c r="S339" s="642"/>
    </row>
    <row r="340" spans="1:19" x14ac:dyDescent="0.2">
      <c r="A340" s="398" t="str">
        <v xml:space="preserve"> </v>
      </c>
      <c r="C340" s="630" t="s">
        <v>184</v>
      </c>
      <c r="D340" s="630"/>
      <c r="F340" s="630" t="s">
        <v>184</v>
      </c>
      <c r="G340" s="630"/>
      <c r="I340" s="631" t="s">
        <v>184</v>
      </c>
      <c r="J340" s="631"/>
      <c r="L340" s="631" t="s">
        <v>184</v>
      </c>
      <c r="M340" s="631"/>
      <c r="O340" s="634" t="str">
        <f>A253</f>
        <v>p38-1G 141G78</v>
      </c>
      <c r="P340" s="635"/>
      <c r="R340" s="631" t="s">
        <v>184</v>
      </c>
      <c r="S340" s="631"/>
    </row>
    <row r="341" spans="1:19" x14ac:dyDescent="0.2">
      <c r="A341" s="398" t="str">
        <v xml:space="preserve"> </v>
      </c>
      <c r="C341" s="630" t="s">
        <v>184</v>
      </c>
      <c r="D341" s="630"/>
      <c r="F341" s="630" t="s">
        <v>184</v>
      </c>
      <c r="G341" s="630"/>
      <c r="I341" s="630" t="s">
        <v>184</v>
      </c>
      <c r="J341" s="630"/>
      <c r="L341" s="631" t="s">
        <v>184</v>
      </c>
      <c r="M341" s="631"/>
      <c r="O341" s="634" t="str">
        <f>A193</f>
        <v>p24-6G 140G145 PK</v>
      </c>
      <c r="P341" s="635"/>
      <c r="R341" s="630" t="s">
        <v>184</v>
      </c>
      <c r="S341" s="630"/>
    </row>
    <row r="342" spans="1:19" x14ac:dyDescent="0.2">
      <c r="A342" s="398" t="str">
        <v xml:space="preserve"> </v>
      </c>
      <c r="C342" s="630" t="s">
        <v>184</v>
      </c>
      <c r="D342" s="630"/>
      <c r="F342" s="630" t="s">
        <v>184</v>
      </c>
      <c r="G342" s="630"/>
      <c r="I342" s="630" t="s">
        <v>184</v>
      </c>
      <c r="J342" s="630"/>
      <c r="L342" s="631" t="s">
        <v>184</v>
      </c>
      <c r="M342" s="631"/>
      <c r="O342" s="634" t="str">
        <f>A198</f>
        <v>Pandora (Pro24-6G BS)</v>
      </c>
      <c r="P342" s="635"/>
      <c r="R342" s="630" t="s">
        <v>184</v>
      </c>
      <c r="S342" s="630"/>
    </row>
    <row r="343" spans="1:19" x14ac:dyDescent="0.2">
      <c r="A343" s="398" t="str">
        <v xml:space="preserve"> </v>
      </c>
      <c r="C343" s="630" t="s">
        <v>184</v>
      </c>
      <c r="D343" s="630"/>
      <c r="F343" s="630" t="s">
        <v>184</v>
      </c>
      <c r="G343" s="630"/>
      <c r="I343" s="630" t="s">
        <v>184</v>
      </c>
      <c r="J343" s="630"/>
      <c r="L343" s="630" t="s">
        <v>184</v>
      </c>
      <c r="M343" s="630"/>
      <c r="O343" s="636" t="str">
        <f>A203</f>
        <v>p24-6G 142G117 WT</v>
      </c>
      <c r="P343" s="637"/>
      <c r="R343" s="630" t="s">
        <v>184</v>
      </c>
      <c r="S343" s="630"/>
    </row>
    <row r="344" spans="1:19" x14ac:dyDescent="0.2">
      <c r="A344" s="398" t="str">
        <v xml:space="preserve"> </v>
      </c>
      <c r="C344" s="630" t="s">
        <v>184</v>
      </c>
      <c r="D344" s="630"/>
      <c r="F344" s="630" t="s">
        <v>184</v>
      </c>
      <c r="G344" s="630"/>
      <c r="I344" s="630" t="s">
        <v>184</v>
      </c>
      <c r="J344" s="630"/>
      <c r="L344" s="630" t="s">
        <v>184</v>
      </c>
      <c r="M344" s="630"/>
      <c r="O344" s="636" t="str">
        <f>A208</f>
        <v>p24-6G 139G107 DT</v>
      </c>
      <c r="P344" s="637"/>
      <c r="R344" s="630" t="s">
        <v>184</v>
      </c>
      <c r="S344" s="630"/>
    </row>
    <row r="345" spans="1:19" x14ac:dyDescent="0.2">
      <c r="A345" s="398" t="str">
        <v xml:space="preserve"> </v>
      </c>
      <c r="C345" s="630" t="s">
        <v>184</v>
      </c>
      <c r="D345" s="630"/>
      <c r="F345" s="630" t="s">
        <v>184</v>
      </c>
      <c r="G345" s="630"/>
      <c r="I345" s="630" t="s">
        <v>184</v>
      </c>
      <c r="J345" s="630"/>
      <c r="L345" s="630" t="s">
        <v>184</v>
      </c>
      <c r="M345" s="630"/>
      <c r="O345" s="636" t="str">
        <f>A263</f>
        <v>Cariacou</v>
      </c>
      <c r="P345" s="637"/>
      <c r="R345" s="630" t="s">
        <v>184</v>
      </c>
      <c r="S345" s="630"/>
    </row>
    <row r="346" spans="1:19" x14ac:dyDescent="0.2">
      <c r="A346" s="474" t="str">
        <v xml:space="preserve"> </v>
      </c>
      <c r="C346" s="630" t="s">
        <v>184</v>
      </c>
      <c r="D346" s="630"/>
      <c r="F346" s="630" t="s">
        <v>184</v>
      </c>
      <c r="G346" s="630"/>
      <c r="I346" s="630" t="s">
        <v>184</v>
      </c>
      <c r="J346" s="630"/>
      <c r="L346" s="630" t="s">
        <v>184</v>
      </c>
      <c r="M346" s="630"/>
      <c r="O346" s="644" t="str">
        <f>A258</f>
        <v>Wapiti</v>
      </c>
      <c r="P346" s="645"/>
      <c r="R346" s="630" t="s">
        <v>184</v>
      </c>
      <c r="S346" s="630"/>
    </row>
  </sheetData>
  <sheetProtection password="C6AC" sheet="1" objects="1" scenarios="1"/>
  <dataConsolidate/>
  <mergeCells count="186">
    <mergeCell ref="R346:S346"/>
    <mergeCell ref="R342:S342"/>
    <mergeCell ref="F342:G342"/>
    <mergeCell ref="F343:G343"/>
    <mergeCell ref="F344:G344"/>
    <mergeCell ref="F345:G345"/>
    <mergeCell ref="F346:G346"/>
    <mergeCell ref="O346:P346"/>
    <mergeCell ref="L345:M345"/>
    <mergeCell ref="L346:M346"/>
    <mergeCell ref="I344:J344"/>
    <mergeCell ref="I346:J346"/>
    <mergeCell ref="I345:J345"/>
    <mergeCell ref="R340:S340"/>
    <mergeCell ref="R341:S341"/>
    <mergeCell ref="R343:S343"/>
    <mergeCell ref="R344:S344"/>
    <mergeCell ref="R345:S345"/>
    <mergeCell ref="O345:P345"/>
    <mergeCell ref="O340:P340"/>
    <mergeCell ref="R339:S339"/>
    <mergeCell ref="F332:G332"/>
    <mergeCell ref="O343:P343"/>
    <mergeCell ref="R338:S338"/>
    <mergeCell ref="R336:S336"/>
    <mergeCell ref="R337:S337"/>
    <mergeCell ref="R334:S334"/>
    <mergeCell ref="F341:G341"/>
    <mergeCell ref="O342:P342"/>
    <mergeCell ref="O335:P335"/>
    <mergeCell ref="O334:P334"/>
    <mergeCell ref="O339:P339"/>
    <mergeCell ref="O344:P344"/>
    <mergeCell ref="R335:S335"/>
    <mergeCell ref="R333:S333"/>
    <mergeCell ref="I337:J337"/>
    <mergeCell ref="I338:J338"/>
    <mergeCell ref="F336:G336"/>
    <mergeCell ref="F337:G337"/>
    <mergeCell ref="O327:P327"/>
    <mergeCell ref="O333:P333"/>
    <mergeCell ref="L328:M328"/>
    <mergeCell ref="I336:J336"/>
    <mergeCell ref="O332:P332"/>
    <mergeCell ref="L333:M333"/>
    <mergeCell ref="I341:J341"/>
    <mergeCell ref="O337:P337"/>
    <mergeCell ref="F339:G339"/>
    <mergeCell ref="F340:G340"/>
    <mergeCell ref="O338:P338"/>
    <mergeCell ref="O336:P336"/>
    <mergeCell ref="I328:J328"/>
    <mergeCell ref="I329:J329"/>
    <mergeCell ref="I330:J330"/>
    <mergeCell ref="I331:J331"/>
    <mergeCell ref="I335:J335"/>
    <mergeCell ref="L337:M337"/>
    <mergeCell ref="O341:P341"/>
    <mergeCell ref="L334:M334"/>
    <mergeCell ref="F329:G329"/>
    <mergeCell ref="F330:G330"/>
    <mergeCell ref="F331:G331"/>
    <mergeCell ref="F324:G324"/>
    <mergeCell ref="F321:G321"/>
    <mergeCell ref="F320:G320"/>
    <mergeCell ref="O323:P323"/>
    <mergeCell ref="O320:P320"/>
    <mergeCell ref="O319:P319"/>
    <mergeCell ref="O324:P324"/>
    <mergeCell ref="F319:G319"/>
    <mergeCell ref="O322:P322"/>
    <mergeCell ref="I320:J320"/>
    <mergeCell ref="L319:M319"/>
    <mergeCell ref="L326:M326"/>
    <mergeCell ref="L327:M327"/>
    <mergeCell ref="L321:M321"/>
    <mergeCell ref="L322:M322"/>
    <mergeCell ref="O325:P325"/>
    <mergeCell ref="O330:P330"/>
    <mergeCell ref="F327:G327"/>
    <mergeCell ref="F326:G326"/>
    <mergeCell ref="L316:M316"/>
    <mergeCell ref="C327:D327"/>
    <mergeCell ref="C326:D326"/>
    <mergeCell ref="C325:D325"/>
    <mergeCell ref="C324:D324"/>
    <mergeCell ref="C323:D323"/>
    <mergeCell ref="C322:D322"/>
    <mergeCell ref="O316:P316"/>
    <mergeCell ref="F318:G318"/>
    <mergeCell ref="F317:G317"/>
    <mergeCell ref="O318:P318"/>
    <mergeCell ref="O317:P317"/>
    <mergeCell ref="L318:M318"/>
    <mergeCell ref="C316:D316"/>
    <mergeCell ref="C317:D317"/>
    <mergeCell ref="C318:D318"/>
    <mergeCell ref="C319:D319"/>
    <mergeCell ref="C320:D320"/>
    <mergeCell ref="F316:G316"/>
    <mergeCell ref="L320:M320"/>
    <mergeCell ref="I316:J316"/>
    <mergeCell ref="I317:J317"/>
    <mergeCell ref="I318:J318"/>
    <mergeCell ref="I319:J319"/>
    <mergeCell ref="L317:M317"/>
    <mergeCell ref="C332:D332"/>
    <mergeCell ref="R322:S322"/>
    <mergeCell ref="R328:S328"/>
    <mergeCell ref="R332:S332"/>
    <mergeCell ref="F328:G328"/>
    <mergeCell ref="F322:G322"/>
    <mergeCell ref="O326:P326"/>
    <mergeCell ref="F323:G323"/>
    <mergeCell ref="O331:P331"/>
    <mergeCell ref="R330:S330"/>
    <mergeCell ref="R329:S329"/>
    <mergeCell ref="O329:P329"/>
    <mergeCell ref="R331:S331"/>
    <mergeCell ref="L331:M331"/>
    <mergeCell ref="L332:M332"/>
    <mergeCell ref="L329:M329"/>
    <mergeCell ref="L330:M330"/>
    <mergeCell ref="L325:M325"/>
    <mergeCell ref="C329:D329"/>
    <mergeCell ref="C330:D330"/>
    <mergeCell ref="I332:J332"/>
    <mergeCell ref="C331:D331"/>
    <mergeCell ref="F325:G325"/>
    <mergeCell ref="R316:S316"/>
    <mergeCell ref="R317:S317"/>
    <mergeCell ref="R318:S318"/>
    <mergeCell ref="R319:S319"/>
    <mergeCell ref="R320:S320"/>
    <mergeCell ref="C328:D328"/>
    <mergeCell ref="O328:P328"/>
    <mergeCell ref="R327:S327"/>
    <mergeCell ref="R326:S326"/>
    <mergeCell ref="C321:D321"/>
    <mergeCell ref="O321:P321"/>
    <mergeCell ref="R321:S321"/>
    <mergeCell ref="R325:S325"/>
    <mergeCell ref="R324:S324"/>
    <mergeCell ref="R323:S323"/>
    <mergeCell ref="I321:J321"/>
    <mergeCell ref="I322:J322"/>
    <mergeCell ref="I323:J323"/>
    <mergeCell ref="I324:J324"/>
    <mergeCell ref="I325:J325"/>
    <mergeCell ref="I326:J326"/>
    <mergeCell ref="I327:J327"/>
    <mergeCell ref="L323:M323"/>
    <mergeCell ref="L324:M324"/>
    <mergeCell ref="C345:D345"/>
    <mergeCell ref="C346:D346"/>
    <mergeCell ref="C335:D335"/>
    <mergeCell ref="C336:D336"/>
    <mergeCell ref="C337:D337"/>
    <mergeCell ref="C338:D338"/>
    <mergeCell ref="C339:D339"/>
    <mergeCell ref="C340:D340"/>
    <mergeCell ref="C334:D334"/>
    <mergeCell ref="C333:D333"/>
    <mergeCell ref="L343:M343"/>
    <mergeCell ref="L344:M344"/>
    <mergeCell ref="F338:G338"/>
    <mergeCell ref="C341:D341"/>
    <mergeCell ref="C342:D342"/>
    <mergeCell ref="C343:D343"/>
    <mergeCell ref="I342:J342"/>
    <mergeCell ref="I343:J343"/>
    <mergeCell ref="L341:M341"/>
    <mergeCell ref="L342:M342"/>
    <mergeCell ref="C344:D344"/>
    <mergeCell ref="L338:M338"/>
    <mergeCell ref="F333:G333"/>
    <mergeCell ref="L335:M335"/>
    <mergeCell ref="L336:M336"/>
    <mergeCell ref="I333:J333"/>
    <mergeCell ref="I334:J334"/>
    <mergeCell ref="L339:M339"/>
    <mergeCell ref="L340:M340"/>
    <mergeCell ref="I340:J340"/>
    <mergeCell ref="I339:J339"/>
    <mergeCell ref="F334:G334"/>
    <mergeCell ref="F335:G335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 r:id="rId1"/>
  <headerFooter alignWithMargins="0"/>
  <ignoredErrors>
    <ignoredError sqref="R317:S318 C317:D324 F317:G321 O322:P339 O342:P342 R334:S339 O340:O341 O317:P319 O320:P321 P341 M32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IN1075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219" sqref="B219"/>
    </sheetView>
  </sheetViews>
  <sheetFormatPr baseColWidth="10" defaultColWidth="11.42578125" defaultRowHeight="12.75" x14ac:dyDescent="0.2"/>
  <cols>
    <col min="1" max="1" width="4.42578125" style="7" bestFit="1" customWidth="1"/>
    <col min="2" max="2" width="6" style="7" bestFit="1" customWidth="1"/>
    <col min="3" max="3" width="1.42578125" style="8" customWidth="1"/>
    <col min="4" max="4" width="7.140625" style="7" customWidth="1"/>
    <col min="5" max="6" width="7.42578125" style="7" customWidth="1"/>
    <col min="7" max="7" width="7.140625" style="7" customWidth="1"/>
    <col min="8" max="8" width="7.42578125" style="7" customWidth="1"/>
    <col min="9" max="9" width="7.140625" style="7" customWidth="1"/>
    <col min="10" max="12" width="7.42578125" style="7" bestFit="1" customWidth="1"/>
    <col min="13" max="13" width="5.7109375" style="7" customWidth="1"/>
    <col min="14" max="14" width="6.42578125" style="7" customWidth="1"/>
    <col min="15" max="15" width="1.42578125" style="8" customWidth="1"/>
    <col min="16" max="16" width="4" style="7" customWidth="1"/>
    <col min="17" max="17" width="8.42578125" style="7" customWidth="1"/>
    <col min="18" max="18" width="5.7109375" style="7" customWidth="1"/>
    <col min="19" max="19" width="5.28515625" style="7" customWidth="1"/>
    <col min="20" max="20" width="6" style="7" customWidth="1"/>
    <col min="21" max="21" width="8.7109375" style="7" customWidth="1"/>
    <col min="22" max="22" width="6.7109375" style="7" customWidth="1"/>
    <col min="23" max="23" width="7.140625" style="7" customWidth="1"/>
    <col min="24" max="24" width="1.42578125" style="8" customWidth="1"/>
    <col min="25" max="25" width="15.7109375" style="7" customWidth="1"/>
    <col min="26" max="26" width="5.7109375" style="7" customWidth="1"/>
    <col min="27" max="27" width="7.7109375" style="7" customWidth="1"/>
    <col min="28" max="28" width="1.42578125" style="7" customWidth="1"/>
    <col min="29" max="29" width="7.28515625" style="7" bestFit="1" customWidth="1"/>
    <col min="30" max="31" width="6.7109375" style="7" bestFit="1" customWidth="1"/>
    <col min="32" max="32" width="1.85546875" style="7" customWidth="1"/>
    <col min="33" max="238" width="11.42578125" style="7" customWidth="1"/>
    <col min="239" max="239" width="11" style="7" customWidth="1"/>
  </cols>
  <sheetData>
    <row r="1" spans="1:248" ht="13.5" thickBot="1" x14ac:dyDescent="0.25">
      <c r="D1" s="646" t="s">
        <v>266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186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193</v>
      </c>
      <c r="E2" s="335" t="s">
        <v>194</v>
      </c>
      <c r="F2" s="331" t="s">
        <v>195</v>
      </c>
      <c r="G2" s="334" t="s">
        <v>190</v>
      </c>
      <c r="H2" s="335" t="s">
        <v>191</v>
      </c>
      <c r="I2" s="331" t="s">
        <v>192</v>
      </c>
      <c r="J2" s="334" t="s">
        <v>187</v>
      </c>
      <c r="K2" s="335" t="s">
        <v>188</v>
      </c>
      <c r="L2" s="331" t="s">
        <v>189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185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154</v>
      </c>
      <c r="B3" s="333" t="s">
        <v>154</v>
      </c>
      <c r="C3" s="10"/>
      <c r="D3" s="336" t="s">
        <v>7</v>
      </c>
      <c r="E3" s="337" t="s">
        <v>7</v>
      </c>
      <c r="F3" s="333" t="s">
        <v>7</v>
      </c>
      <c r="G3" s="336" t="s">
        <v>155</v>
      </c>
      <c r="H3" s="337" t="s">
        <v>155</v>
      </c>
      <c r="I3" s="333" t="s">
        <v>155</v>
      </c>
      <c r="J3" s="336" t="s">
        <v>39</v>
      </c>
      <c r="K3" s="337" t="s">
        <v>39</v>
      </c>
      <c r="L3" s="333" t="s">
        <v>39</v>
      </c>
      <c r="M3" s="332" t="s">
        <v>244</v>
      </c>
      <c r="N3" s="333" t="s">
        <v>156</v>
      </c>
      <c r="O3" s="10"/>
      <c r="P3" s="336" t="s">
        <v>14</v>
      </c>
      <c r="Q3" s="339" t="s">
        <v>227</v>
      </c>
      <c r="R3" s="336" t="s">
        <v>245</v>
      </c>
      <c r="S3" s="340" t="s">
        <v>228</v>
      </c>
      <c r="T3" s="339" t="s">
        <v>227</v>
      </c>
      <c r="U3" s="341" t="s">
        <v>227</v>
      </c>
      <c r="V3" s="336" t="s">
        <v>8</v>
      </c>
      <c r="W3" s="339" t="s">
        <v>227</v>
      </c>
      <c r="X3" s="11"/>
      <c r="Y3" s="342"/>
      <c r="Z3" s="343"/>
      <c r="AA3" s="344"/>
      <c r="AC3" s="336" t="s">
        <v>154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6.6</v>
      </c>
      <c r="D4" s="292" t="s">
        <v>14</v>
      </c>
      <c r="E4" s="293" t="s">
        <v>14</v>
      </c>
      <c r="F4" s="294" t="s">
        <v>14</v>
      </c>
      <c r="G4" s="292">
        <f>vit_xz*COS(Beta)</f>
        <v>21.651787406497657</v>
      </c>
      <c r="H4" s="293">
        <f>vit_xz*SIN(Beta)</f>
        <v>130.36419217754479</v>
      </c>
      <c r="I4" s="349">
        <f>V_ini</f>
        <v>132.15</v>
      </c>
      <c r="J4" s="350">
        <f>X_ini</f>
        <v>111.04</v>
      </c>
      <c r="K4" s="351">
        <f>Z_ini</f>
        <v>930.5</v>
      </c>
      <c r="L4" s="327">
        <f t="shared" ref="L4:L67" si="0">SQRT(pos_x^2+pos_z^2)</f>
        <v>937.1019856984617</v>
      </c>
      <c r="M4" s="292">
        <f>RADIANS(N4)</f>
        <v>1.4062117783318313</v>
      </c>
      <c r="N4" s="349">
        <f>Beta_rampe</f>
        <v>80.569999999999993</v>
      </c>
      <c r="P4" s="292" t="s">
        <v>14</v>
      </c>
      <c r="Q4" s="294" t="s">
        <v>14</v>
      </c>
      <c r="R4" s="292" t="s">
        <v>14</v>
      </c>
      <c r="S4" s="351">
        <f ca="1">m_tot</f>
        <v>4.1599000000000004</v>
      </c>
      <c r="T4" s="327">
        <f t="shared" ref="T4:T67" ca="1" si="1">m*g</f>
        <v>40.808619000000007</v>
      </c>
      <c r="U4" s="328">
        <f t="shared" ref="U4:U67" si="2">IF(pos_xz&lt;L_rampe,Poids*COS(Beta),0)</f>
        <v>0</v>
      </c>
      <c r="V4" s="329">
        <f t="shared" ref="V4:V67" si="3">Rho_moyen*(20000-Alt_rampe-pos_z)/(20000+Alt_rampe+pos_z)</f>
        <v>1.1160811972958125</v>
      </c>
      <c r="W4" s="327">
        <f t="shared" ref="W4:W67" si="4">1/2*Rho*Sref*Cx*vit_xz^2</f>
        <v>28.463495806219921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-1</v>
      </c>
      <c r="AD4" s="321">
        <f>IF(ABS(t-ROUND(t,0))&lt;0.001,pos_x,-1)</f>
        <v>-1</v>
      </c>
      <c r="AE4" s="322">
        <f t="shared" ref="AE4:AE67" si="5">IF(t&lt;T_para, pos_z, NA())</f>
        <v>930.5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6.6099999999999994</v>
      </c>
      <c r="D5" s="306">
        <f t="shared" ref="D5:D68" ca="1" si="8">IF(AND(L4&lt;L_rampe,Poussee&lt;Poids*SIN(M4)),0,(-W4+Poussee)/m*COS(M4)-U4/m*SIN(M4))</f>
        <v>1.340674278386655</v>
      </c>
      <c r="E5" s="307">
        <f t="shared" ref="E5:E68" ca="1" si="9">IF(AND(L4&lt;L_rampe,Poussee&lt;Poids*SIN(M4)),0,(-W4+Poussee)/m*SIN(M4)+U4/m*COS(M4)-Poids/m)</f>
        <v>-1.7378756994150439</v>
      </c>
      <c r="F5" s="304">
        <f t="shared" ref="F5:F68" ca="1" si="10">SQRT(acc_x^2+acc_z^2)</f>
        <v>2.19490762159707</v>
      </c>
      <c r="G5" s="306">
        <f t="shared" ref="G5:G68" ca="1" si="11">G4+acc_x*pas</f>
        <v>21.665194149281525</v>
      </c>
      <c r="H5" s="307">
        <f t="shared" ref="H5:H68" ca="1" si="12">H4+acc_z*pas</f>
        <v>130.34681342055063</v>
      </c>
      <c r="I5" s="304">
        <f t="shared" ref="I5:I68" ca="1" si="13">SQRT(vit_x^2+vit_z^2)</f>
        <v>132.13505366259892</v>
      </c>
      <c r="J5" s="306">
        <f t="shared" ref="J5:J68" ca="1" si="14">J4+0.5*(vit_x+G4)*pas*(K4&gt;=0)</f>
        <v>111.2565849077789</v>
      </c>
      <c r="K5" s="307">
        <f t="shared" ref="K5:K68" ca="1" si="15">K4+0.5*(vit_z+H4)*pas</f>
        <v>931.80355502799046</v>
      </c>
      <c r="L5" s="304">
        <f t="shared" ca="1" si="0"/>
        <v>938.42202278513423</v>
      </c>
      <c r="M5" s="306">
        <f t="shared" ref="M5:M68" ca="1" si="16">IF(AND(L4&gt;L_rampe,G5&gt;0),ATAN2(G5,H5),$M$4)</f>
        <v>1.4060901380130071</v>
      </c>
      <c r="N5" s="304">
        <f t="shared" ref="N5:N68" ca="1" si="17">DEGREES(Beta)</f>
        <v>80.563030523112744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62.499999999998664</v>
      </c>
      <c r="R5" s="306">
        <f t="shared" ref="R5:R68" ca="1" si="20">Poussee/(g*ISP)</f>
        <v>3.3171861836562053E-2</v>
      </c>
      <c r="S5" s="307">
        <f t="shared" ref="S5:S68" ca="1" si="21">S4-Débit*pas</f>
        <v>4.1595682813816346</v>
      </c>
      <c r="T5" s="304">
        <f t="shared" ca="1" si="1"/>
        <v>40.805364840353839</v>
      </c>
      <c r="U5" s="311">
        <f t="shared" ca="1" si="2"/>
        <v>0</v>
      </c>
      <c r="V5" s="306">
        <f t="shared" ca="1" si="3"/>
        <v>1.1159354034487774</v>
      </c>
      <c r="W5" s="304">
        <f t="shared" ca="1" si="4"/>
        <v>28.453340303777974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931.80355502799046</v>
      </c>
      <c r="AG5" s="306">
        <f t="shared" ref="AG5:AG68" ca="1" si="27">IF(AND(L4&lt;L_rampe,Poussee&lt;Poids*SIN(M4)),0,(-W4+Poussee)/m-Poids*SIN(M4)/m)</f>
        <v>-1.4947314960441958</v>
      </c>
      <c r="AH5" s="304">
        <f t="shared" ref="AH5:AH68" ca="1" si="28">IF(AND(L4&lt;L_rampe,Poussee&lt;Poids*SIN(M4)), g*SIN(M4), (-W4+Poussee)/m)</f>
        <v>8.1827011582253046</v>
      </c>
    </row>
    <row r="6" spans="1:248" x14ac:dyDescent="0.2">
      <c r="A6" s="347">
        <f t="shared" ca="1" si="6"/>
        <v>0.01</v>
      </c>
      <c r="B6" s="304">
        <f t="shared" ca="1" si="7"/>
        <v>6.6199999999999992</v>
      </c>
      <c r="D6" s="306">
        <f t="shared" ca="1" si="8"/>
        <v>6.2708259902024999</v>
      </c>
      <c r="E6" s="307">
        <f t="shared" ca="1" si="9"/>
        <v>27.917895707076816</v>
      </c>
      <c r="F6" s="304">
        <f t="shared" ca="1" si="10"/>
        <v>28.61349610429696</v>
      </c>
      <c r="G6" s="306">
        <f t="shared" ca="1" si="11"/>
        <v>21.72790240918355</v>
      </c>
      <c r="H6" s="307">
        <f t="shared" ca="1" si="12"/>
        <v>130.6259923776214</v>
      </c>
      <c r="I6" s="304">
        <f t="shared" ca="1" si="13"/>
        <v>132.42073715148021</v>
      </c>
      <c r="J6" s="306">
        <f t="shared" ca="1" si="14"/>
        <v>111.47355039057123</v>
      </c>
      <c r="K6" s="307">
        <f t="shared" ca="1" si="15"/>
        <v>933.10841905698135</v>
      </c>
      <c r="L6" s="304">
        <f t="shared" ca="1" si="0"/>
        <v>939.74340867691024</v>
      </c>
      <c r="M6" s="306">
        <f t="shared" ca="1" si="16"/>
        <v>1.4059686712250836</v>
      </c>
      <c r="N6" s="304">
        <f t="shared" ca="1" si="17"/>
        <v>80.556070988813715</v>
      </c>
      <c r="P6" s="310">
        <f t="shared" ca="1" si="18"/>
        <v>1</v>
      </c>
      <c r="Q6" s="304">
        <f t="shared" ca="1" si="19"/>
        <v>187.49999999999599</v>
      </c>
      <c r="R6" s="306">
        <f t="shared" ca="1" si="20"/>
        <v>9.9515585509686158E-2</v>
      </c>
      <c r="S6" s="307">
        <f t="shared" ca="1" si="21"/>
        <v>4.1585731255265381</v>
      </c>
      <c r="T6" s="304">
        <f t="shared" ca="1" si="1"/>
        <v>40.795602361415341</v>
      </c>
      <c r="U6" s="311">
        <f t="shared" ca="1" si="2"/>
        <v>0</v>
      </c>
      <c r="V6" s="306">
        <f t="shared" ca="1" si="3"/>
        <v>1.115789481384027</v>
      </c>
      <c r="W6" s="304">
        <f t="shared" ca="1" si="4"/>
        <v>28.572772058852788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933.10841905698135</v>
      </c>
      <c r="AG6" s="306">
        <f t="shared" ca="1" si="27"/>
        <v>28.568251200153064</v>
      </c>
      <c r="AH6" s="304">
        <f t="shared" ca="1" si="28"/>
        <v>38.245488270951185</v>
      </c>
    </row>
    <row r="7" spans="1:248" x14ac:dyDescent="0.2">
      <c r="A7" s="347">
        <f t="shared" ca="1" si="6"/>
        <v>0.01</v>
      </c>
      <c r="B7" s="304">
        <f t="shared" ca="1" si="7"/>
        <v>6.629999999999999</v>
      </c>
      <c r="D7" s="306">
        <f t="shared" ca="1" si="8"/>
        <v>8.3447133282842429</v>
      </c>
      <c r="E7" s="307">
        <f t="shared" ca="1" si="9"/>
        <v>40.357588158587134</v>
      </c>
      <c r="F7" s="304">
        <f t="shared" ca="1" si="10"/>
        <v>41.211274701340855</v>
      </c>
      <c r="G7" s="306">
        <f t="shared" ca="1" si="11"/>
        <v>21.811349542466392</v>
      </c>
      <c r="H7" s="307">
        <f t="shared" ca="1" si="12"/>
        <v>131.02956825920728</v>
      </c>
      <c r="I7" s="304">
        <f t="shared" ca="1" si="13"/>
        <v>132.83253640226067</v>
      </c>
      <c r="J7" s="306">
        <f t="shared" ca="1" si="14"/>
        <v>111.69124665032949</v>
      </c>
      <c r="K7" s="307">
        <f t="shared" ca="1" si="15"/>
        <v>934.41669686016553</v>
      </c>
      <c r="L7" s="304">
        <f t="shared" ca="1" si="0"/>
        <v>941.06827486073894</v>
      </c>
      <c r="M7" s="306">
        <f t="shared" ca="1" si="16"/>
        <v>1.4058474925098199</v>
      </c>
      <c r="N7" s="304">
        <f t="shared" ca="1" si="17"/>
        <v>80.54912795986229</v>
      </c>
      <c r="P7" s="310">
        <f t="shared" ca="1" si="18"/>
        <v>2</v>
      </c>
      <c r="Q7" s="304">
        <f t="shared" ca="1" si="19"/>
        <v>240.00000000000108</v>
      </c>
      <c r="R7" s="306">
        <f t="shared" ca="1" si="20"/>
        <v>0.12737994945240158</v>
      </c>
      <c r="S7" s="307">
        <f t="shared" ca="1" si="21"/>
        <v>4.1572993260320139</v>
      </c>
      <c r="T7" s="304">
        <f t="shared" ca="1" si="1"/>
        <v>40.783106388374058</v>
      </c>
      <c r="U7" s="311">
        <f t="shared" ca="1" si="2"/>
        <v>0</v>
      </c>
      <c r="V7" s="306">
        <f t="shared" ca="1" si="3"/>
        <v>1.115643195821608</v>
      </c>
      <c r="W7" s="304">
        <f t="shared" ca="1" si="4"/>
        <v>28.746989033651232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934.41669686016553</v>
      </c>
      <c r="AG7" s="306">
        <f t="shared" ca="1" si="27"/>
        <v>41.179827550532593</v>
      </c>
      <c r="AH7" s="304">
        <f t="shared" ca="1" si="28"/>
        <v>50.856869173995136</v>
      </c>
    </row>
    <row r="8" spans="1:248" x14ac:dyDescent="0.2">
      <c r="A8" s="347">
        <f t="shared" ca="1" si="6"/>
        <v>0.01</v>
      </c>
      <c r="B8" s="304">
        <f t="shared" ca="1" si="7"/>
        <v>6.6399999999999988</v>
      </c>
      <c r="D8" s="306">
        <f t="shared" ca="1" si="8"/>
        <v>7.5560888275323927</v>
      </c>
      <c r="E8" s="307">
        <f t="shared" ca="1" si="9"/>
        <v>35.582471239440501</v>
      </c>
      <c r="F8" s="304">
        <f t="shared" ca="1" si="10"/>
        <v>36.375908756691842</v>
      </c>
      <c r="G8" s="306">
        <f t="shared" ca="1" si="11"/>
        <v>21.886910430741715</v>
      </c>
      <c r="H8" s="307">
        <f t="shared" ca="1" si="12"/>
        <v>131.38539297160168</v>
      </c>
      <c r="I8" s="304">
        <f t="shared" ca="1" si="13"/>
        <v>133.19593963220316</v>
      </c>
      <c r="J8" s="306">
        <f t="shared" ca="1" si="14"/>
        <v>111.90973795019553</v>
      </c>
      <c r="K8" s="307">
        <f t="shared" ca="1" si="15"/>
        <v>935.72877166631963</v>
      </c>
      <c r="L8" s="304">
        <f t="shared" ca="1" si="0"/>
        <v>942.39700953061219</v>
      </c>
      <c r="M8" s="306">
        <f t="shared" ca="1" si="16"/>
        <v>1.405726556372072</v>
      </c>
      <c r="N8" s="304">
        <f t="shared" ca="1" si="17"/>
        <v>80.542198829578723</v>
      </c>
      <c r="P8" s="310">
        <f t="shared" ca="1" si="18"/>
        <v>2</v>
      </c>
      <c r="Q8" s="304">
        <f t="shared" ca="1" si="19"/>
        <v>220.00000000000148</v>
      </c>
      <c r="R8" s="306">
        <f t="shared" ca="1" si="20"/>
        <v>0.1167649536647017</v>
      </c>
      <c r="S8" s="307">
        <f t="shared" ca="1" si="21"/>
        <v>4.1561316764953666</v>
      </c>
      <c r="T8" s="304">
        <f t="shared" ca="1" si="1"/>
        <v>40.77165174641955</v>
      </c>
      <c r="U8" s="311">
        <f t="shared" ca="1" si="2"/>
        <v>0</v>
      </c>
      <c r="V8" s="306">
        <f t="shared" ca="1" si="3"/>
        <v>1.1154965040584057</v>
      </c>
      <c r="W8" s="304">
        <f t="shared" ca="1" si="4"/>
        <v>28.900695664151286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935.72877166631963</v>
      </c>
      <c r="AG8" s="306">
        <f t="shared" ca="1" si="27"/>
        <v>36.340225591059557</v>
      </c>
      <c r="AH8" s="304">
        <f t="shared" ca="1" si="28"/>
        <v>46.017072088443363</v>
      </c>
    </row>
    <row r="9" spans="1:248" x14ac:dyDescent="0.2">
      <c r="A9" s="347">
        <f t="shared" ca="1" si="6"/>
        <v>0.01</v>
      </c>
      <c r="B9" s="304">
        <f t="shared" ca="1" si="7"/>
        <v>6.6499999999999986</v>
      </c>
      <c r="D9" s="306">
        <f t="shared" ca="1" si="8"/>
        <v>7.145001191073991</v>
      </c>
      <c r="E9" s="307">
        <f t="shared" ca="1" si="9"/>
        <v>33.080877277648092</v>
      </c>
      <c r="F9" s="304">
        <f t="shared" ca="1" si="10"/>
        <v>33.843691930391735</v>
      </c>
      <c r="G9" s="306">
        <f t="shared" ca="1" si="11"/>
        <v>21.958360442652456</v>
      </c>
      <c r="H9" s="307">
        <f t="shared" ca="1" si="12"/>
        <v>131.71620174437817</v>
      </c>
      <c r="I9" s="304">
        <f t="shared" ca="1" si="13"/>
        <v>133.53399340727879</v>
      </c>
      <c r="J9" s="306">
        <f t="shared" ca="1" si="14"/>
        <v>112.1289643045625</v>
      </c>
      <c r="K9" s="307">
        <f t="shared" ca="1" si="15"/>
        <v>937.04427963989951</v>
      </c>
      <c r="L9" s="304">
        <f t="shared" ca="1" si="0"/>
        <v>943.72924435023845</v>
      </c>
      <c r="M9" s="306">
        <f t="shared" ca="1" si="16"/>
        <v>1.4056058387571937</v>
      </c>
      <c r="N9" s="304">
        <f t="shared" ca="1" si="17"/>
        <v>80.535282219733318</v>
      </c>
      <c r="P9" s="310">
        <f t="shared" ca="1" si="18"/>
        <v>3</v>
      </c>
      <c r="Q9" s="304">
        <f t="shared" ca="1" si="19"/>
        <v>209.56896551724145</v>
      </c>
      <c r="R9" s="306">
        <f t="shared" ca="1" si="20"/>
        <v>0.11122868430990909</v>
      </c>
      <c r="S9" s="307">
        <f t="shared" ca="1" si="21"/>
        <v>4.1550193896522671</v>
      </c>
      <c r="T9" s="304">
        <f t="shared" ca="1" si="1"/>
        <v>40.760740212488741</v>
      </c>
      <c r="U9" s="311">
        <f t="shared" ca="1" si="2"/>
        <v>0</v>
      </c>
      <c r="V9" s="306">
        <f t="shared" ca="1" si="3"/>
        <v>1.115349446920249</v>
      </c>
      <c r="W9" s="304">
        <f t="shared" ca="1" si="4"/>
        <v>29.043753461647825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937.04427963989951</v>
      </c>
      <c r="AG9" s="306">
        <f t="shared" ca="1" si="27"/>
        <v>33.805280209735955</v>
      </c>
      <c r="AH9" s="304">
        <f t="shared" ca="1" si="28"/>
        <v>43.481931829976439</v>
      </c>
    </row>
    <row r="10" spans="1:248" x14ac:dyDescent="0.2">
      <c r="A10" s="347">
        <f t="shared" ca="1" si="6"/>
        <v>0.01</v>
      </c>
      <c r="B10" s="304">
        <f t="shared" ca="1" si="7"/>
        <v>6.6599999999999984</v>
      </c>
      <c r="D10" s="306">
        <f t="shared" ca="1" si="8"/>
        <v>7.1122957501757336</v>
      </c>
      <c r="E10" s="307">
        <f t="shared" ca="1" si="9"/>
        <v>32.852774588404998</v>
      </c>
      <c r="F10" s="304">
        <f t="shared" ca="1" si="10"/>
        <v>33.613829728171659</v>
      </c>
      <c r="G10" s="306">
        <f t="shared" ca="1" si="11"/>
        <v>22.029483400154213</v>
      </c>
      <c r="H10" s="307">
        <f t="shared" ca="1" si="12"/>
        <v>132.04472949026223</v>
      </c>
      <c r="I10" s="304">
        <f t="shared" ca="1" si="13"/>
        <v>133.86974536852679</v>
      </c>
      <c r="J10" s="306">
        <f t="shared" ca="1" si="14"/>
        <v>112.34890352377653</v>
      </c>
      <c r="K10" s="307">
        <f t="shared" ca="1" si="15"/>
        <v>938.36308429607277</v>
      </c>
      <c r="L10" s="304">
        <f t="shared" ca="1" si="0"/>
        <v>945.06484121071469</v>
      </c>
      <c r="M10" s="306">
        <f t="shared" ca="1" si="16"/>
        <v>1.4054853366493401</v>
      </c>
      <c r="N10" s="304">
        <f t="shared" ca="1" si="17"/>
        <v>80.528377957530864</v>
      </c>
      <c r="P10" s="310">
        <f t="shared" ca="1" si="18"/>
        <v>3</v>
      </c>
      <c r="Q10" s="304">
        <f t="shared" ca="1" si="19"/>
        <v>208.70689655172424</v>
      </c>
      <c r="R10" s="306">
        <f t="shared" ca="1" si="20"/>
        <v>0.11077114138802549</v>
      </c>
      <c r="S10" s="307">
        <f t="shared" ca="1" si="21"/>
        <v>4.1539116782383871</v>
      </c>
      <c r="T10" s="304">
        <f t="shared" ca="1" si="1"/>
        <v>40.749873563518577</v>
      </c>
      <c r="U10" s="311">
        <f t="shared" ca="1" si="2"/>
        <v>0</v>
      </c>
      <c r="V10" s="306">
        <f t="shared" ca="1" si="3"/>
        <v>1.1152020398027371</v>
      </c>
      <c r="W10" s="304">
        <f t="shared" ca="1" si="4"/>
        <v>29.186131916213107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938.36308429607277</v>
      </c>
      <c r="AG10" s="306">
        <f t="shared" ca="1" si="27"/>
        <v>33.575098930289698</v>
      </c>
      <c r="AH10" s="304">
        <f t="shared" ca="1" si="28"/>
        <v>43.251555884372799</v>
      </c>
    </row>
    <row r="11" spans="1:248" x14ac:dyDescent="0.2">
      <c r="A11" s="347">
        <f t="shared" ca="1" si="6"/>
        <v>0.01</v>
      </c>
      <c r="B11" s="304">
        <f t="shared" ca="1" si="7"/>
        <v>6.6699999999999982</v>
      </c>
      <c r="D11" s="306">
        <f t="shared" ca="1" si="8"/>
        <v>7.0795250922793045</v>
      </c>
      <c r="E11" s="307">
        <f t="shared" ca="1" si="9"/>
        <v>32.624675328019755</v>
      </c>
      <c r="F11" s="304">
        <f t="shared" ca="1" si="10"/>
        <v>33.38396495012109</v>
      </c>
      <c r="G11" s="306">
        <f t="shared" ca="1" si="11"/>
        <v>22.100278651077005</v>
      </c>
      <c r="H11" s="307">
        <f t="shared" ca="1" si="12"/>
        <v>132.37097624354243</v>
      </c>
      <c r="I11" s="304">
        <f t="shared" ca="1" si="13"/>
        <v>134.20319544676917</v>
      </c>
      <c r="J11" s="306">
        <f t="shared" ca="1" si="14"/>
        <v>112.56955233403268</v>
      </c>
      <c r="K11" s="307">
        <f t="shared" ca="1" si="15"/>
        <v>939.68516282474184</v>
      </c>
      <c r="L11" s="304">
        <f t="shared" ca="1" si="0"/>
        <v>946.40377711928329</v>
      </c>
      <c r="M11" s="306">
        <f t="shared" ca="1" si="16"/>
        <v>1.4053650470641454</v>
      </c>
      <c r="N11" s="304">
        <f t="shared" ca="1" si="17"/>
        <v>80.521485871979834</v>
      </c>
      <c r="P11" s="310">
        <f t="shared" ca="1" si="18"/>
        <v>3</v>
      </c>
      <c r="Q11" s="304">
        <f t="shared" ca="1" si="19"/>
        <v>207.844827586207</v>
      </c>
      <c r="R11" s="306">
        <f t="shared" ca="1" si="20"/>
        <v>0.11031359846614187</v>
      </c>
      <c r="S11" s="307">
        <f t="shared" ca="1" si="21"/>
        <v>4.1528085422537258</v>
      </c>
      <c r="T11" s="304">
        <f t="shared" ca="1" si="1"/>
        <v>40.739051799509049</v>
      </c>
      <c r="U11" s="311">
        <f t="shared" ca="1" si="2"/>
        <v>0</v>
      </c>
      <c r="V11" s="306">
        <f t="shared" ca="1" si="3"/>
        <v>1.1150542853906955</v>
      </c>
      <c r="W11" s="304">
        <f t="shared" ca="1" si="4"/>
        <v>29.327823630143687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939.68516282474184</v>
      </c>
      <c r="AG11" s="306">
        <f t="shared" ca="1" si="27"/>
        <v>33.344910731015815</v>
      </c>
      <c r="AH11" s="304">
        <f t="shared" ca="1" si="28"/>
        <v>43.021173225827546</v>
      </c>
    </row>
    <row r="12" spans="1:248" x14ac:dyDescent="0.2">
      <c r="A12" s="347">
        <f t="shared" ca="1" si="6"/>
        <v>0.01</v>
      </c>
      <c r="B12" s="304">
        <f t="shared" ca="1" si="7"/>
        <v>6.6799999999999979</v>
      </c>
      <c r="D12" s="306">
        <f t="shared" ca="1" si="8"/>
        <v>7.0466899079799985</v>
      </c>
      <c r="E12" s="307">
        <f t="shared" ca="1" si="9"/>
        <v>32.396581968113502</v>
      </c>
      <c r="F12" s="304">
        <f t="shared" ca="1" si="10"/>
        <v>33.15410022721057</v>
      </c>
      <c r="G12" s="306">
        <f t="shared" ca="1" si="11"/>
        <v>22.170745550156806</v>
      </c>
      <c r="H12" s="307">
        <f t="shared" ca="1" si="12"/>
        <v>132.69494206322358</v>
      </c>
      <c r="I12" s="304">
        <f t="shared" ca="1" si="13"/>
        <v>134.53434359825025</v>
      </c>
      <c r="J12" s="306">
        <f t="shared" ca="1" si="14"/>
        <v>112.79090745503885</v>
      </c>
      <c r="K12" s="307">
        <f t="shared" ca="1" si="15"/>
        <v>941.01049241627561</v>
      </c>
      <c r="L12" s="304">
        <f t="shared" ca="1" si="0"/>
        <v>947.74602908271402</v>
      </c>
      <c r="M12" s="306">
        <f t="shared" ca="1" si="16"/>
        <v>1.4052449670481504</v>
      </c>
      <c r="N12" s="304">
        <f t="shared" ca="1" si="17"/>
        <v>80.514605793859459</v>
      </c>
      <c r="P12" s="310">
        <f t="shared" ca="1" si="18"/>
        <v>3</v>
      </c>
      <c r="Q12" s="304">
        <f t="shared" ca="1" si="19"/>
        <v>206.98275862068979</v>
      </c>
      <c r="R12" s="306">
        <f t="shared" ca="1" si="20"/>
        <v>0.10985605554425826</v>
      </c>
      <c r="S12" s="307">
        <f t="shared" ca="1" si="21"/>
        <v>4.151709981698283</v>
      </c>
      <c r="T12" s="304">
        <f t="shared" ca="1" si="1"/>
        <v>40.728274920460159</v>
      </c>
      <c r="U12" s="311">
        <f t="shared" ca="1" si="2"/>
        <v>0</v>
      </c>
      <c r="V12" s="306">
        <f t="shared" ca="1" si="3"/>
        <v>1.1149061863679024</v>
      </c>
      <c r="W12" s="304">
        <f t="shared" ca="1" si="4"/>
        <v>29.468821274919016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941.01049241627561</v>
      </c>
      <c r="AG12" s="306">
        <f t="shared" ca="1" si="27"/>
        <v>33.114718154158567</v>
      </c>
      <c r="AH12" s="304">
        <f t="shared" ca="1" si="28"/>
        <v>42.790786392520424</v>
      </c>
    </row>
    <row r="13" spans="1:248" x14ac:dyDescent="0.2">
      <c r="A13" s="347">
        <f t="shared" ca="1" si="6"/>
        <v>0.01</v>
      </c>
      <c r="B13" s="304">
        <f t="shared" ca="1" si="7"/>
        <v>6.6899999999999977</v>
      </c>
      <c r="D13" s="306">
        <f t="shared" ca="1" si="8"/>
        <v>7.0137908827550799</v>
      </c>
      <c r="E13" s="307">
        <f t="shared" ca="1" si="9"/>
        <v>32.168496966881143</v>
      </c>
      <c r="F13" s="304">
        <f t="shared" ca="1" si="10"/>
        <v>32.924238178813788</v>
      </c>
      <c r="G13" s="306">
        <f t="shared" ca="1" si="11"/>
        <v>22.240883458984356</v>
      </c>
      <c r="H13" s="307">
        <f t="shared" ca="1" si="12"/>
        <v>133.01662703289239</v>
      </c>
      <c r="I13" s="304">
        <f t="shared" ca="1" si="13"/>
        <v>134.86318980449676</v>
      </c>
      <c r="J13" s="306">
        <f t="shared" ca="1" si="14"/>
        <v>113.01296560008456</v>
      </c>
      <c r="K13" s="307">
        <f t="shared" ca="1" si="15"/>
        <v>942.33905026175614</v>
      </c>
      <c r="L13" s="304">
        <f t="shared" ca="1" si="0"/>
        <v>949.09157410755392</v>
      </c>
      <c r="M13" s="306">
        <f t="shared" ca="1" si="16"/>
        <v>1.4051250936782391</v>
      </c>
      <c r="N13" s="304">
        <f t="shared" ca="1" si="17"/>
        <v>80.507737555687527</v>
      </c>
      <c r="P13" s="310">
        <f t="shared" ca="1" si="18"/>
        <v>3</v>
      </c>
      <c r="Q13" s="304">
        <f t="shared" ca="1" si="19"/>
        <v>206.12068965517258</v>
      </c>
      <c r="R13" s="306">
        <f t="shared" ca="1" si="20"/>
        <v>0.10939851262237466</v>
      </c>
      <c r="S13" s="307">
        <f t="shared" ca="1" si="21"/>
        <v>4.1506159965720588</v>
      </c>
      <c r="T13" s="304">
        <f t="shared" ca="1" si="1"/>
        <v>40.717542926371898</v>
      </c>
      <c r="U13" s="311">
        <f t="shared" ca="1" si="2"/>
        <v>0</v>
      </c>
      <c r="V13" s="306">
        <f t="shared" ca="1" si="3"/>
        <v>1.1147577454170554</v>
      </c>
      <c r="W13" s="304">
        <f t="shared" ca="1" si="4"/>
        <v>29.609117591246033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942.33905026175614</v>
      </c>
      <c r="AG13" s="306">
        <f t="shared" ca="1" si="27"/>
        <v>32.884523727979811</v>
      </c>
      <c r="AH13" s="304">
        <f t="shared" ca="1" si="28"/>
        <v>42.560397908683463</v>
      </c>
    </row>
    <row r="14" spans="1:248" x14ac:dyDescent="0.2">
      <c r="A14" s="347">
        <f t="shared" ca="1" si="6"/>
        <v>0.01</v>
      </c>
      <c r="B14" s="304">
        <f t="shared" ca="1" si="7"/>
        <v>6.6999999999999975</v>
      </c>
      <c r="D14" s="306">
        <f t="shared" ca="1" si="8"/>
        <v>6.9808286969997084</v>
      </c>
      <c r="E14" s="307">
        <f t="shared" ca="1" si="9"/>
        <v>31.940422769029958</v>
      </c>
      <c r="F14" s="304">
        <f t="shared" ca="1" si="10"/>
        <v>32.694381412732405</v>
      </c>
      <c r="G14" s="306">
        <f t="shared" ca="1" si="11"/>
        <v>22.310691745954355</v>
      </c>
      <c r="H14" s="307">
        <f t="shared" ca="1" si="12"/>
        <v>133.3360312605827</v>
      </c>
      <c r="I14" s="304">
        <f t="shared" ca="1" si="13"/>
        <v>135.18973407217754</v>
      </c>
      <c r="J14" s="306">
        <f t="shared" ca="1" si="14"/>
        <v>113.23572347610924</v>
      </c>
      <c r="K14" s="307">
        <f t="shared" ca="1" si="15"/>
        <v>943.67081355322352</v>
      </c>
      <c r="L14" s="304">
        <f t="shared" ca="1" si="0"/>
        <v>950.44038920037519</v>
      </c>
      <c r="M14" s="306">
        <f t="shared" ca="1" si="16"/>
        <v>1.4050054240610892</v>
      </c>
      <c r="N14" s="304">
        <f t="shared" ca="1" si="17"/>
        <v>80.500880991688902</v>
      </c>
      <c r="P14" s="310">
        <f t="shared" ca="1" si="18"/>
        <v>3</v>
      </c>
      <c r="Q14" s="304">
        <f t="shared" ca="1" si="19"/>
        <v>205.25862068965534</v>
      </c>
      <c r="R14" s="306">
        <f t="shared" ca="1" si="20"/>
        <v>0.10894096970049102</v>
      </c>
      <c r="S14" s="307">
        <f t="shared" ca="1" si="21"/>
        <v>4.1495265868750542</v>
      </c>
      <c r="T14" s="304">
        <f t="shared" ca="1" si="1"/>
        <v>40.706855817244282</v>
      </c>
      <c r="U14" s="311">
        <f t="shared" ca="1" si="2"/>
        <v>0</v>
      </c>
      <c r="V14" s="306">
        <f t="shared" ca="1" si="3"/>
        <v>1.114608965219734</v>
      </c>
      <c r="W14" s="304">
        <f t="shared" ca="1" si="4"/>
        <v>29.748705389099069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943.67081355322352</v>
      </c>
      <c r="AG14" s="306">
        <f t="shared" ca="1" si="27"/>
        <v>32.654329966702505</v>
      </c>
      <c r="AH14" s="304">
        <f t="shared" ca="1" si="28"/>
        <v>42.330010284543874</v>
      </c>
    </row>
    <row r="15" spans="1:248" x14ac:dyDescent="0.2">
      <c r="A15" s="347">
        <f t="shared" ca="1" si="6"/>
        <v>0.01</v>
      </c>
      <c r="B15" s="304">
        <f t="shared" ca="1" si="7"/>
        <v>6.7099999999999973</v>
      </c>
      <c r="D15" s="306">
        <f t="shared" ca="1" si="8"/>
        <v>6.9478040260619931</v>
      </c>
      <c r="E15" s="307">
        <f t="shared" ca="1" si="9"/>
        <v>31.71236180571983</v>
      </c>
      <c r="F15" s="304">
        <f t="shared" ca="1" si="10"/>
        <v>32.464532525225756</v>
      </c>
      <c r="G15" s="306">
        <f t="shared" ca="1" si="11"/>
        <v>22.380169786214974</v>
      </c>
      <c r="H15" s="307">
        <f t="shared" ca="1" si="12"/>
        <v>133.6531548786399</v>
      </c>
      <c r="I15" s="304">
        <f t="shared" ca="1" si="13"/>
        <v>135.51397643296249</v>
      </c>
      <c r="J15" s="306">
        <f t="shared" ca="1" si="14"/>
        <v>113.45917778377009</v>
      </c>
      <c r="K15" s="307">
        <f t="shared" ca="1" si="15"/>
        <v>945.00575948391963</v>
      </c>
      <c r="L15" s="304">
        <f t="shared" ca="1" si="0"/>
        <v>951.79245136802217</v>
      </c>
      <c r="M15" s="306">
        <f t="shared" ca="1" si="16"/>
        <v>1.4048859553326321</v>
      </c>
      <c r="N15" s="304">
        <f t="shared" ca="1" si="17"/>
        <v>80.494035937764508</v>
      </c>
      <c r="P15" s="310">
        <f t="shared" ca="1" si="18"/>
        <v>3</v>
      </c>
      <c r="Q15" s="304">
        <f t="shared" ca="1" si="19"/>
        <v>204.39655172413813</v>
      </c>
      <c r="R15" s="306">
        <f t="shared" ca="1" si="20"/>
        <v>0.10848342677860742</v>
      </c>
      <c r="S15" s="307">
        <f t="shared" ca="1" si="21"/>
        <v>4.1484417526072681</v>
      </c>
      <c r="T15" s="304">
        <f t="shared" ca="1" si="1"/>
        <v>40.696213593077303</v>
      </c>
      <c r="U15" s="311">
        <f t="shared" ca="1" si="2"/>
        <v>0</v>
      </c>
      <c r="V15" s="306">
        <f t="shared" ca="1" si="3"/>
        <v>1.1144598484563677</v>
      </c>
      <c r="W15" s="304">
        <f t="shared" ca="1" si="4"/>
        <v>29.887577547755122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945.00575948391963</v>
      </c>
      <c r="AG15" s="306">
        <f t="shared" ca="1" si="27"/>
        <v>32.424139370455777</v>
      </c>
      <c r="AH15" s="304">
        <f t="shared" ca="1" si="28"/>
        <v>42.099626016268417</v>
      </c>
    </row>
    <row r="16" spans="1:248" x14ac:dyDescent="0.2">
      <c r="A16" s="347">
        <f t="shared" ca="1" si="6"/>
        <v>0.01</v>
      </c>
      <c r="B16" s="304">
        <f t="shared" ca="1" si="7"/>
        <v>6.7199999999999971</v>
      </c>
      <c r="D16" s="306">
        <f t="shared" ca="1" si="8"/>
        <v>6.9147175402771293</v>
      </c>
      <c r="E16" s="307">
        <f t="shared" ca="1" si="9"/>
        <v>31.484316494504462</v>
      </c>
      <c r="F16" s="304">
        <f t="shared" ca="1" si="10"/>
        <v>32.234694101044944</v>
      </c>
      <c r="G16" s="306">
        <f t="shared" ca="1" si="11"/>
        <v>22.449316961617747</v>
      </c>
      <c r="H16" s="307">
        <f t="shared" ca="1" si="12"/>
        <v>133.96799804358494</v>
      </c>
      <c r="I16" s="304">
        <f t="shared" ca="1" si="13"/>
        <v>135.83591694338122</v>
      </c>
      <c r="J16" s="306">
        <f t="shared" ca="1" si="14"/>
        <v>113.68332521750925</v>
      </c>
      <c r="K16" s="307">
        <f t="shared" ca="1" si="15"/>
        <v>946.34386524853073</v>
      </c>
      <c r="L16" s="304">
        <f t="shared" ca="1" si="0"/>
        <v>953.14773761785705</v>
      </c>
      <c r="M16" s="306">
        <f t="shared" ca="1" si="16"/>
        <v>1.4047666846575233</v>
      </c>
      <c r="N16" s="304">
        <f t="shared" ca="1" si="17"/>
        <v>80.487202231461097</v>
      </c>
      <c r="P16" s="310">
        <f t="shared" ca="1" si="18"/>
        <v>3</v>
      </c>
      <c r="Q16" s="304">
        <f t="shared" ca="1" si="19"/>
        <v>203.5344827586209</v>
      </c>
      <c r="R16" s="306">
        <f t="shared" ca="1" si="20"/>
        <v>0.10802588385672381</v>
      </c>
      <c r="S16" s="307">
        <f t="shared" ca="1" si="21"/>
        <v>4.1473614937687007</v>
      </c>
      <c r="T16" s="304">
        <f t="shared" ca="1" si="1"/>
        <v>40.685616253870954</v>
      </c>
      <c r="U16" s="311">
        <f t="shared" ca="1" si="2"/>
        <v>0</v>
      </c>
      <c r="V16" s="306">
        <f t="shared" ca="1" si="3"/>
        <v>1.1143103978062001</v>
      </c>
      <c r="W16" s="304">
        <f t="shared" ca="1" si="4"/>
        <v>30.025727015824458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946.34386524853073</v>
      </c>
      <c r="AG16" s="306">
        <f t="shared" ca="1" si="27"/>
        <v>32.193954425220824</v>
      </c>
      <c r="AH16" s="304">
        <f t="shared" ca="1" si="28"/>
        <v>41.869247585908681</v>
      </c>
    </row>
    <row r="17" spans="1:34" x14ac:dyDescent="0.2">
      <c r="A17" s="347">
        <f t="shared" ca="1" si="6"/>
        <v>0.01</v>
      </c>
      <c r="B17" s="304">
        <f t="shared" ca="1" si="7"/>
        <v>6.7299999999999969</v>
      </c>
      <c r="D17" s="306">
        <f t="shared" ca="1" si="8"/>
        <v>6.8815699050008252</v>
      </c>
      <c r="E17" s="307">
        <f t="shared" ca="1" si="9"/>
        <v>31.256289239274402</v>
      </c>
      <c r="F17" s="304">
        <f t="shared" ca="1" si="10"/>
        <v>32.004868713472234</v>
      </c>
      <c r="G17" s="306">
        <f t="shared" ca="1" si="11"/>
        <v>22.518132660667757</v>
      </c>
      <c r="H17" s="307">
        <f t="shared" ca="1" si="12"/>
        <v>134.28056093597769</v>
      </c>
      <c r="I17" s="304">
        <f t="shared" ca="1" si="13"/>
        <v>136.15555568468093</v>
      </c>
      <c r="J17" s="306">
        <f t="shared" ca="1" si="14"/>
        <v>113.90816246562068</v>
      </c>
      <c r="K17" s="307">
        <f t="shared" ca="1" si="15"/>
        <v>947.6851080434285</v>
      </c>
      <c r="L17" s="304">
        <f t="shared" ca="1" si="0"/>
        <v>954.5062249580036</v>
      </c>
      <c r="M17" s="306">
        <f t="shared" ca="1" si="16"/>
        <v>1.4046476092286257</v>
      </c>
      <c r="N17" s="304">
        <f t="shared" ca="1" si="17"/>
        <v>80.480379711941566</v>
      </c>
      <c r="P17" s="310">
        <f t="shared" ca="1" si="18"/>
        <v>3</v>
      </c>
      <c r="Q17" s="304">
        <f t="shared" ca="1" si="19"/>
        <v>202.67241379310369</v>
      </c>
      <c r="R17" s="306">
        <f t="shared" ca="1" si="20"/>
        <v>0.10756834093484019</v>
      </c>
      <c r="S17" s="307">
        <f t="shared" ca="1" si="21"/>
        <v>4.1462858103593518</v>
      </c>
      <c r="T17" s="304">
        <f t="shared" ca="1" si="1"/>
        <v>40.675063799625242</v>
      </c>
      <c r="U17" s="311">
        <f t="shared" ca="1" si="2"/>
        <v>0</v>
      </c>
      <c r="V17" s="306">
        <f t="shared" ca="1" si="3"/>
        <v>1.1141606159472548</v>
      </c>
      <c r="W17" s="304">
        <f t="shared" ca="1" si="4"/>
        <v>30.16314681127648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947.6851080434285</v>
      </c>
      <c r="AG17" s="306">
        <f t="shared" ca="1" si="27"/>
        <v>31.963777602778528</v>
      </c>
      <c r="AH17" s="304">
        <f t="shared" ca="1" si="28"/>
        <v>41.638877461348045</v>
      </c>
    </row>
    <row r="18" spans="1:34" x14ac:dyDescent="0.2">
      <c r="A18" s="347">
        <f t="shared" ca="1" si="6"/>
        <v>0.01</v>
      </c>
      <c r="B18" s="304">
        <f t="shared" ca="1" si="7"/>
        <v>6.7399999999999967</v>
      </c>
      <c r="D18" s="306">
        <f t="shared" ca="1" si="8"/>
        <v>6.8483617806417607</v>
      </c>
      <c r="E18" s="307">
        <f t="shared" ca="1" si="9"/>
        <v>31.028282430201152</v>
      </c>
      <c r="F18" s="304">
        <f t="shared" ca="1" si="10"/>
        <v>31.775058924365261</v>
      </c>
      <c r="G18" s="306">
        <f t="shared" ca="1" si="11"/>
        <v>22.586616278474175</v>
      </c>
      <c r="H18" s="307">
        <f t="shared" ca="1" si="12"/>
        <v>134.59084376027971</v>
      </c>
      <c r="I18" s="304">
        <f t="shared" ca="1" si="13"/>
        <v>136.47289276268404</v>
      </c>
      <c r="J18" s="306">
        <f t="shared" ca="1" si="14"/>
        <v>114.13368621031638</v>
      </c>
      <c r="K18" s="307">
        <f t="shared" ca="1" si="15"/>
        <v>949.02946506690978</v>
      </c>
      <c r="L18" s="304">
        <f t="shared" ca="1" si="0"/>
        <v>955.86789039759037</v>
      </c>
      <c r="M18" s="306">
        <f t="shared" ca="1" si="16"/>
        <v>1.4045287262664996</v>
      </c>
      <c r="N18" s="304">
        <f t="shared" ca="1" si="17"/>
        <v>80.473568219955723</v>
      </c>
      <c r="P18" s="310">
        <f t="shared" ca="1" si="18"/>
        <v>3</v>
      </c>
      <c r="Q18" s="304">
        <f t="shared" ca="1" si="19"/>
        <v>201.81034482758645</v>
      </c>
      <c r="R18" s="306">
        <f t="shared" ca="1" si="20"/>
        <v>0.10711079801295657</v>
      </c>
      <c r="S18" s="307">
        <f t="shared" ca="1" si="21"/>
        <v>4.1452147023792225</v>
      </c>
      <c r="T18" s="304">
        <f t="shared" ca="1" si="1"/>
        <v>40.664556230340175</v>
      </c>
      <c r="U18" s="311">
        <f t="shared" ca="1" si="2"/>
        <v>0</v>
      </c>
      <c r="V18" s="306">
        <f t="shared" ca="1" si="3"/>
        <v>1.1140105055563012</v>
      </c>
      <c r="W18" s="304">
        <f t="shared" ca="1" si="4"/>
        <v>30.29983002146118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949.02946506690978</v>
      </c>
      <c r="AG18" s="306">
        <f t="shared" ca="1" si="27"/>
        <v>31.733611360657974</v>
      </c>
      <c r="AH18" s="304">
        <f t="shared" ca="1" si="28"/>
        <v>41.408518096249608</v>
      </c>
    </row>
    <row r="19" spans="1:34" x14ac:dyDescent="0.2">
      <c r="A19" s="347">
        <f t="shared" ca="1" si="6"/>
        <v>0.01</v>
      </c>
      <c r="B19" s="304">
        <f t="shared" ca="1" si="7"/>
        <v>6.7499999999999964</v>
      </c>
      <c r="D19" s="306">
        <f t="shared" ca="1" si="8"/>
        <v>6.8150938226934379</v>
      </c>
      <c r="E19" s="307">
        <f t="shared" ca="1" si="9"/>
        <v>30.800298443682756</v>
      </c>
      <c r="F19" s="304">
        <f t="shared" ca="1" si="10"/>
        <v>31.545267284206687</v>
      </c>
      <c r="G19" s="306">
        <f t="shared" ca="1" si="11"/>
        <v>22.65476721670111</v>
      </c>
      <c r="H19" s="307">
        <f t="shared" ca="1" si="12"/>
        <v>134.89884674471654</v>
      </c>
      <c r="I19" s="304">
        <f t="shared" ca="1" si="13"/>
        <v>136.78792830764505</v>
      </c>
      <c r="J19" s="306">
        <f t="shared" ca="1" si="14"/>
        <v>114.35989312779226</v>
      </c>
      <c r="K19" s="307">
        <f t="shared" ca="1" si="15"/>
        <v>950.37691351943477</v>
      </c>
      <c r="L19" s="304">
        <f t="shared" ca="1" si="0"/>
        <v>957.2327109469918</v>
      </c>
      <c r="M19" s="306">
        <f t="shared" ca="1" si="16"/>
        <v>1.4044100330189058</v>
      </c>
      <c r="N19" s="304">
        <f t="shared" ca="1" si="17"/>
        <v>80.466767597811895</v>
      </c>
      <c r="P19" s="310">
        <f t="shared" ca="1" si="18"/>
        <v>3</v>
      </c>
      <c r="Q19" s="304">
        <f t="shared" ca="1" si="19"/>
        <v>200.94827586206924</v>
      </c>
      <c r="R19" s="306">
        <f t="shared" ca="1" si="20"/>
        <v>0.10665325509107296</v>
      </c>
      <c r="S19" s="307">
        <f t="shared" ca="1" si="21"/>
        <v>4.1441481698283118</v>
      </c>
      <c r="T19" s="304">
        <f t="shared" ca="1" si="1"/>
        <v>40.654093546015744</v>
      </c>
      <c r="U19" s="311">
        <f t="shared" ca="1" si="2"/>
        <v>0</v>
      </c>
      <c r="V19" s="306">
        <f t="shared" ca="1" si="3"/>
        <v>1.1138600693088216</v>
      </c>
      <c r="W19" s="304">
        <f t="shared" ca="1" si="4"/>
        <v>30.435769803125861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950.37691351943477</v>
      </c>
      <c r="AG19" s="306">
        <f t="shared" ca="1" si="27"/>
        <v>31.503458142086448</v>
      </c>
      <c r="AH19" s="304">
        <f t="shared" ca="1" si="28"/>
        <v>41.178171930005547</v>
      </c>
    </row>
    <row r="20" spans="1:34" x14ac:dyDescent="0.2">
      <c r="A20" s="347">
        <f t="shared" ca="1" si="6"/>
        <v>0.01</v>
      </c>
      <c r="B20" s="304">
        <f t="shared" ca="1" si="7"/>
        <v>6.7599999999999962</v>
      </c>
      <c r="D20" s="306">
        <f t="shared" ca="1" si="8"/>
        <v>6.7817666817651192</v>
      </c>
      <c r="E20" s="307">
        <f t="shared" ca="1" si="9"/>
        <v>30.572339642290729</v>
      </c>
      <c r="F20" s="304">
        <f t="shared" ca="1" si="10"/>
        <v>31.31549633215927</v>
      </c>
      <c r="G20" s="306">
        <f t="shared" ca="1" si="11"/>
        <v>22.72258488351876</v>
      </c>
      <c r="H20" s="307">
        <f t="shared" ca="1" si="12"/>
        <v>135.20457014113944</v>
      </c>
      <c r="I20" s="304">
        <f t="shared" ca="1" si="13"/>
        <v>137.100662474107</v>
      </c>
      <c r="J20" s="306">
        <f t="shared" ca="1" si="14"/>
        <v>114.58677988829336</v>
      </c>
      <c r="K20" s="307">
        <f t="shared" ca="1" si="15"/>
        <v>951.72743060386404</v>
      </c>
      <c r="L20" s="304">
        <f t="shared" ca="1" si="0"/>
        <v>958.60066361806844</v>
      </c>
      <c r="M20" s="306">
        <f t="shared" ca="1" si="16"/>
        <v>1.404291526760316</v>
      </c>
      <c r="N20" s="304">
        <f t="shared" ca="1" si="17"/>
        <v>80.459977689348804</v>
      </c>
      <c r="P20" s="310">
        <f t="shared" ca="1" si="18"/>
        <v>3</v>
      </c>
      <c r="Q20" s="304">
        <f t="shared" ca="1" si="19"/>
        <v>200.086206896552</v>
      </c>
      <c r="R20" s="306">
        <f t="shared" ca="1" si="20"/>
        <v>0.10619571216918934</v>
      </c>
      <c r="S20" s="307">
        <f t="shared" ca="1" si="21"/>
        <v>4.1430862127066197</v>
      </c>
      <c r="T20" s="304">
        <f t="shared" ca="1" si="1"/>
        <v>40.643675746651944</v>
      </c>
      <c r="U20" s="311">
        <f t="shared" ca="1" si="2"/>
        <v>0</v>
      </c>
      <c r="V20" s="306">
        <f t="shared" ca="1" si="3"/>
        <v>1.1137093098789774</v>
      </c>
      <c r="W20" s="304">
        <f t="shared" ca="1" si="4"/>
        <v>30.570959382427443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951.72743060386404</v>
      </c>
      <c r="AG20" s="306">
        <f t="shared" ca="1" si="27"/>
        <v>31.273320375940528</v>
      </c>
      <c r="AH20" s="304">
        <f t="shared" ca="1" si="28"/>
        <v>40.947841387687639</v>
      </c>
    </row>
    <row r="21" spans="1:34" x14ac:dyDescent="0.2">
      <c r="A21" s="347">
        <f t="shared" ca="1" si="6"/>
        <v>0.01</v>
      </c>
      <c r="B21" s="304">
        <f t="shared" ca="1" si="7"/>
        <v>6.769999999999996</v>
      </c>
      <c r="D21" s="306">
        <f t="shared" ca="1" si="8"/>
        <v>6.7483810036121596</v>
      </c>
      <c r="E21" s="307">
        <f t="shared" ca="1" si="9"/>
        <v>30.344408374718284</v>
      </c>
      <c r="F21" s="304">
        <f t="shared" ca="1" si="10"/>
        <v>31.085748596126596</v>
      </c>
      <c r="G21" s="306">
        <f t="shared" ca="1" si="11"/>
        <v>22.790068693554883</v>
      </c>
      <c r="H21" s="307">
        <f t="shared" ca="1" si="12"/>
        <v>135.50801422488664</v>
      </c>
      <c r="I21" s="304">
        <f t="shared" ca="1" si="13"/>
        <v>137.41109544075772</v>
      </c>
      <c r="J21" s="306">
        <f t="shared" ca="1" si="14"/>
        <v>114.81434315617874</v>
      </c>
      <c r="K21" s="307">
        <f t="shared" ca="1" si="15"/>
        <v>953.08099352569411</v>
      </c>
      <c r="L21" s="304">
        <f t="shared" ca="1" si="0"/>
        <v>959.97172542440478</v>
      </c>
      <c r="M21" s="306">
        <f t="shared" ca="1" si="16"/>
        <v>1.404173204791435</v>
      </c>
      <c r="N21" s="304">
        <f t="shared" ca="1" si="17"/>
        <v>80.453198339908255</v>
      </c>
      <c r="P21" s="310">
        <f t="shared" ca="1" si="18"/>
        <v>3</v>
      </c>
      <c r="Q21" s="304">
        <f t="shared" ca="1" si="19"/>
        <v>199.22413793103479</v>
      </c>
      <c r="R21" s="306">
        <f t="shared" ca="1" si="20"/>
        <v>0.10573816924730574</v>
      </c>
      <c r="S21" s="307">
        <f t="shared" ca="1" si="21"/>
        <v>4.1420288310141462</v>
      </c>
      <c r="T21" s="304">
        <f t="shared" ca="1" si="1"/>
        <v>40.633302832248773</v>
      </c>
      <c r="U21" s="311">
        <f t="shared" ca="1" si="2"/>
        <v>0</v>
      </c>
      <c r="V21" s="306">
        <f t="shared" ca="1" si="3"/>
        <v>1.113558229939575</v>
      </c>
      <c r="W21" s="304">
        <f t="shared" ca="1" si="4"/>
        <v>30.705392054940294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953.08099352569411</v>
      </c>
      <c r="AG21" s="306">
        <f t="shared" ca="1" si="27"/>
        <v>31.043200476698516</v>
      </c>
      <c r="AH21" s="304">
        <f t="shared" ca="1" si="28"/>
        <v>40.717528879999087</v>
      </c>
    </row>
    <row r="22" spans="1:34" x14ac:dyDescent="0.2">
      <c r="A22" s="347">
        <f t="shared" ca="1" si="6"/>
        <v>0.01</v>
      </c>
      <c r="B22" s="304">
        <f t="shared" ca="1" si="7"/>
        <v>6.7799999999999958</v>
      </c>
      <c r="D22" s="306">
        <f t="shared" ca="1" si="8"/>
        <v>6.7149374291655137</v>
      </c>
      <c r="E22" s="307">
        <f t="shared" ca="1" si="9"/>
        <v>30.11650697572999</v>
      </c>
      <c r="F22" s="304">
        <f t="shared" ca="1" si="10"/>
        <v>30.856026592819777</v>
      </c>
      <c r="G22" s="306">
        <f t="shared" ca="1" si="11"/>
        <v>22.857218067846539</v>
      </c>
      <c r="H22" s="307">
        <f t="shared" ca="1" si="12"/>
        <v>135.80917929464394</v>
      </c>
      <c r="I22" s="304">
        <f t="shared" ca="1" si="13"/>
        <v>137.71922741028516</v>
      </c>
      <c r="J22" s="306">
        <f t="shared" ca="1" si="14"/>
        <v>115.04257958998575</v>
      </c>
      <c r="K22" s="307">
        <f t="shared" ca="1" si="15"/>
        <v>954.43757949329176</v>
      </c>
      <c r="L22" s="304">
        <f t="shared" ca="1" si="0"/>
        <v>961.34587338154824</v>
      </c>
      <c r="M22" s="306">
        <f t="shared" ca="1" si="16"/>
        <v>1.4040550644387295</v>
      </c>
      <c r="N22" s="304">
        <f t="shared" ca="1" si="17"/>
        <v>80.446429396308034</v>
      </c>
      <c r="P22" s="310">
        <f t="shared" ca="1" si="18"/>
        <v>3</v>
      </c>
      <c r="Q22" s="304">
        <f t="shared" ca="1" si="19"/>
        <v>198.36206896551755</v>
      </c>
      <c r="R22" s="306">
        <f t="shared" ca="1" si="20"/>
        <v>0.10528062632542211</v>
      </c>
      <c r="S22" s="307">
        <f t="shared" ca="1" si="21"/>
        <v>4.1409760247508922</v>
      </c>
      <c r="T22" s="304">
        <f t="shared" ca="1" si="1"/>
        <v>40.622974802806255</v>
      </c>
      <c r="U22" s="311">
        <f t="shared" ca="1" si="2"/>
        <v>0</v>
      </c>
      <c r="V22" s="306">
        <f t="shared" ca="1" si="3"/>
        <v>1.1134068321620345</v>
      </c>
      <c r="W22" s="304">
        <f t="shared" ca="1" si="4"/>
        <v>30.839061185659538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954.43757949329176</v>
      </c>
      <c r="AG22" s="306">
        <f t="shared" ca="1" si="27"/>
        <v>30.813100844394043</v>
      </c>
      <c r="AH22" s="304">
        <f t="shared" ca="1" si="28"/>
        <v>40.487236803227553</v>
      </c>
    </row>
    <row r="23" spans="1:34" x14ac:dyDescent="0.2">
      <c r="A23" s="347">
        <f t="shared" ca="1" si="6"/>
        <v>0.01</v>
      </c>
      <c r="B23" s="304">
        <f t="shared" ca="1" si="7"/>
        <v>6.7899999999999956</v>
      </c>
      <c r="D23" s="306">
        <f t="shared" ca="1" si="8"/>
        <v>6.6814365945606733</v>
      </c>
      <c r="E23" s="307">
        <f t="shared" ca="1" si="9"/>
        <v>29.888637766112694</v>
      </c>
      <c r="F23" s="304">
        <f t="shared" ca="1" si="10"/>
        <v>30.626332827830247</v>
      </c>
      <c r="G23" s="306">
        <f t="shared" ca="1" si="11"/>
        <v>22.924032433792146</v>
      </c>
      <c r="H23" s="307">
        <f t="shared" ca="1" si="12"/>
        <v>136.10806567230506</v>
      </c>
      <c r="I23" s="304">
        <f t="shared" ca="1" si="13"/>
        <v>138.02505860923247</v>
      </c>
      <c r="J23" s="306">
        <f t="shared" ca="1" si="14"/>
        <v>115.27148584249395</v>
      </c>
      <c r="K23" s="307">
        <f t="shared" ca="1" si="15"/>
        <v>955.79716571812651</v>
      </c>
      <c r="L23" s="304">
        <f t="shared" ca="1" si="0"/>
        <v>962.7230845072429</v>
      </c>
      <c r="M23" s="306">
        <f t="shared" ca="1" si="16"/>
        <v>1.4039371030539685</v>
      </c>
      <c r="N23" s="304">
        <f t="shared" ca="1" si="17"/>
        <v>80.439670706815718</v>
      </c>
      <c r="P23" s="310">
        <f t="shared" ca="1" si="18"/>
        <v>3</v>
      </c>
      <c r="Q23" s="304">
        <f t="shared" ca="1" si="19"/>
        <v>197.50000000000034</v>
      </c>
      <c r="R23" s="306">
        <f t="shared" ca="1" si="20"/>
        <v>0.10482308340353851</v>
      </c>
      <c r="S23" s="307">
        <f t="shared" ca="1" si="21"/>
        <v>4.1399277939168568</v>
      </c>
      <c r="T23" s="304">
        <f t="shared" ca="1" si="1"/>
        <v>40.612691658324366</v>
      </c>
      <c r="U23" s="311">
        <f t="shared" ca="1" si="2"/>
        <v>0</v>
      </c>
      <c r="V23" s="306">
        <f t="shared" ca="1" si="3"/>
        <v>1.1132551192163556</v>
      </c>
      <c r="W23" s="304">
        <f t="shared" ca="1" si="4"/>
        <v>30.97196020899991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955.79716571812651</v>
      </c>
      <c r="AG23" s="306">
        <f t="shared" ca="1" si="27"/>
        <v>30.583023864570983</v>
      </c>
      <c r="AH23" s="304">
        <f t="shared" ca="1" si="28"/>
        <v>40.256967539199522</v>
      </c>
    </row>
    <row r="24" spans="1:34" x14ac:dyDescent="0.2">
      <c r="A24" s="347">
        <f t="shared" ca="1" si="6"/>
        <v>0.01</v>
      </c>
      <c r="B24" s="304">
        <f t="shared" ca="1" si="7"/>
        <v>6.7999999999999954</v>
      </c>
      <c r="D24" s="306">
        <f t="shared" ca="1" si="8"/>
        <v>6.6478791311658059</v>
      </c>
      <c r="E24" s="307">
        <f t="shared" ca="1" si="9"/>
        <v>29.660803052627806</v>
      </c>
      <c r="F24" s="304">
        <f t="shared" ca="1" si="10"/>
        <v>30.396669795708949</v>
      </c>
      <c r="G24" s="306">
        <f t="shared" ca="1" si="11"/>
        <v>22.990511225103806</v>
      </c>
      <c r="H24" s="307">
        <f t="shared" ca="1" si="12"/>
        <v>136.40467370283133</v>
      </c>
      <c r="I24" s="304">
        <f t="shared" ca="1" si="13"/>
        <v>138.32858928785296</v>
      </c>
      <c r="J24" s="306">
        <f t="shared" ca="1" si="14"/>
        <v>115.50105856078842</v>
      </c>
      <c r="K24" s="307">
        <f t="shared" ca="1" si="15"/>
        <v>957.15972941500218</v>
      </c>
      <c r="L24" s="304">
        <f t="shared" ca="1" si="0"/>
        <v>964.10333582166538</v>
      </c>
      <c r="M24" s="306">
        <f t="shared" ca="1" si="16"/>
        <v>1.4038193180137706</v>
      </c>
      <c r="N24" s="304">
        <f t="shared" ca="1" si="17"/>
        <v>80.432922121122601</v>
      </c>
      <c r="P24" s="310">
        <f t="shared" ca="1" si="18"/>
        <v>3</v>
      </c>
      <c r="Q24" s="304">
        <f t="shared" ca="1" si="19"/>
        <v>196.63793103448313</v>
      </c>
      <c r="R24" s="306">
        <f t="shared" ca="1" si="20"/>
        <v>0.10436554048165489</v>
      </c>
      <c r="S24" s="307">
        <f t="shared" ca="1" si="21"/>
        <v>4.1388841385120401</v>
      </c>
      <c r="T24" s="304">
        <f t="shared" ca="1" si="1"/>
        <v>40.602453398803114</v>
      </c>
      <c r="U24" s="311">
        <f t="shared" ca="1" si="2"/>
        <v>0</v>
      </c>
      <c r="V24" s="306">
        <f t="shared" ca="1" si="3"/>
        <v>1.1131030937710846</v>
      </c>
      <c r="W24" s="304">
        <f t="shared" ca="1" si="4"/>
        <v>31.104082628790426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957.15972941500218</v>
      </c>
      <c r="AG24" s="306">
        <f t="shared" ca="1" si="27"/>
        <v>30.352971908239518</v>
      </c>
      <c r="AH24" s="304">
        <f t="shared" ca="1" si="28"/>
        <v>40.026723455235782</v>
      </c>
    </row>
    <row r="25" spans="1:34" x14ac:dyDescent="0.2">
      <c r="A25" s="347">
        <f t="shared" ca="1" si="6"/>
        <v>0.01</v>
      </c>
      <c r="B25" s="304">
        <f t="shared" ca="1" si="7"/>
        <v>6.8099999999999952</v>
      </c>
      <c r="D25" s="306">
        <f t="shared" ca="1" si="8"/>
        <v>6.6142656656093273</v>
      </c>
      <c r="E25" s="307">
        <f t="shared" ca="1" si="9"/>
        <v>29.433005127964812</v>
      </c>
      <c r="F25" s="304">
        <f t="shared" ca="1" si="10"/>
        <v>30.167039980052092</v>
      </c>
      <c r="G25" s="306">
        <f t="shared" ca="1" si="11"/>
        <v>23.0566538817599</v>
      </c>
      <c r="H25" s="307">
        <f t="shared" ca="1" si="12"/>
        <v>136.69900375411098</v>
      </c>
      <c r="I25" s="304">
        <f t="shared" ca="1" si="13"/>
        <v>138.62981971996399</v>
      </c>
      <c r="J25" s="306">
        <f t="shared" ca="1" si="14"/>
        <v>115.73129438632274</v>
      </c>
      <c r="K25" s="307">
        <f t="shared" ca="1" si="15"/>
        <v>958.52524780228691</v>
      </c>
      <c r="L25" s="304">
        <f t="shared" ca="1" si="0"/>
        <v>965.48660434765702</v>
      </c>
      <c r="M25" s="306">
        <f t="shared" ca="1" si="16"/>
        <v>1.4037017067191606</v>
      </c>
      <c r="N25" s="304">
        <f t="shared" ca="1" si="17"/>
        <v>80.42618349031838</v>
      </c>
      <c r="P25" s="310">
        <f t="shared" ca="1" si="18"/>
        <v>3</v>
      </c>
      <c r="Q25" s="304">
        <f t="shared" ca="1" si="19"/>
        <v>195.77586206896589</v>
      </c>
      <c r="R25" s="306">
        <f t="shared" ca="1" si="20"/>
        <v>0.10390799755977127</v>
      </c>
      <c r="S25" s="307">
        <f t="shared" ca="1" si="21"/>
        <v>4.1378450585364419</v>
      </c>
      <c r="T25" s="304">
        <f t="shared" ca="1" si="1"/>
        <v>40.592260024242499</v>
      </c>
      <c r="U25" s="311">
        <f t="shared" ca="1" si="2"/>
        <v>0</v>
      </c>
      <c r="V25" s="306">
        <f t="shared" ca="1" si="3"/>
        <v>1.1129507584932838</v>
      </c>
      <c r="W25" s="304">
        <f t="shared" ca="1" si="4"/>
        <v>31.235422018264448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958.52524780228691</v>
      </c>
      <c r="AG25" s="306">
        <f t="shared" ca="1" si="27"/>
        <v>30.122947331833419</v>
      </c>
      <c r="AH25" s="304">
        <f t="shared" ca="1" si="28"/>
        <v>39.796506904108192</v>
      </c>
    </row>
    <row r="26" spans="1:34" x14ac:dyDescent="0.2">
      <c r="A26" s="347">
        <f t="shared" ca="1" si="6"/>
        <v>0.01</v>
      </c>
      <c r="B26" s="304">
        <f t="shared" ca="1" si="7"/>
        <v>6.819999999999995</v>
      </c>
      <c r="D26" s="306">
        <f t="shared" ca="1" si="8"/>
        <v>6.5805968198068481</v>
      </c>
      <c r="E26" s="307">
        <f t="shared" ca="1" si="9"/>
        <v>29.205246270696257</v>
      </c>
      <c r="F26" s="304">
        <f t="shared" ca="1" si="10"/>
        <v>29.93744585359395</v>
      </c>
      <c r="G26" s="306">
        <f t="shared" ca="1" si="11"/>
        <v>23.122459849957966</v>
      </c>
      <c r="H26" s="307">
        <f t="shared" ca="1" si="12"/>
        <v>136.99105621681795</v>
      </c>
      <c r="I26" s="304">
        <f t="shared" ca="1" si="13"/>
        <v>138.92875020280107</v>
      </c>
      <c r="J26" s="306">
        <f t="shared" ca="1" si="14"/>
        <v>115.96218995498134</v>
      </c>
      <c r="K26" s="307">
        <f t="shared" ca="1" si="15"/>
        <v>959.89369810214157</v>
      </c>
      <c r="L26" s="304">
        <f t="shared" ca="1" si="0"/>
        <v>966.87286711095601</v>
      </c>
      <c r="M26" s="306">
        <f t="shared" ca="1" si="16"/>
        <v>1.4035842665951346</v>
      </c>
      <c r="N26" s="304">
        <f t="shared" ca="1" si="17"/>
        <v>80.419454666866187</v>
      </c>
      <c r="P26" s="310">
        <f t="shared" ca="1" si="18"/>
        <v>3</v>
      </c>
      <c r="Q26" s="304">
        <f t="shared" ca="1" si="19"/>
        <v>194.91379310344868</v>
      </c>
      <c r="R26" s="306">
        <f t="shared" ca="1" si="20"/>
        <v>0.10345045463788767</v>
      </c>
      <c r="S26" s="307">
        <f t="shared" ca="1" si="21"/>
        <v>4.1368105539900633</v>
      </c>
      <c r="T26" s="304">
        <f t="shared" ca="1" si="1"/>
        <v>40.582111534642522</v>
      </c>
      <c r="U26" s="311">
        <f t="shared" ca="1" si="2"/>
        <v>0</v>
      </c>
      <c r="V26" s="306">
        <f t="shared" ca="1" si="3"/>
        <v>1.1127981160484997</v>
      </c>
      <c r="W26" s="304">
        <f t="shared" ca="1" si="4"/>
        <v>31.365972020045696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959.89369810214157</v>
      </c>
      <c r="AG26" s="306">
        <f t="shared" ca="1" si="27"/>
        <v>29.892952477168642</v>
      </c>
      <c r="AH26" s="304">
        <f t="shared" ca="1" si="28"/>
        <v>39.566320223997714</v>
      </c>
    </row>
    <row r="27" spans="1:34" x14ac:dyDescent="0.2">
      <c r="A27" s="347">
        <f t="shared" ca="1" si="6"/>
        <v>0.01</v>
      </c>
      <c r="B27" s="304">
        <f t="shared" ca="1" si="7"/>
        <v>6.8299999999999947</v>
      </c>
      <c r="D27" s="306">
        <f t="shared" ca="1" si="8"/>
        <v>6.5468732109874548</v>
      </c>
      <c r="E27" s="307">
        <f t="shared" ca="1" si="9"/>
        <v>28.977528745233897</v>
      </c>
      <c r="F27" s="304">
        <f t="shared" ca="1" si="10"/>
        <v>29.707889878306773</v>
      </c>
      <c r="G27" s="306">
        <f t="shared" ca="1" si="11"/>
        <v>23.18792858206784</v>
      </c>
      <c r="H27" s="307">
        <f t="shared" ca="1" si="12"/>
        <v>137.28083150427028</v>
      </c>
      <c r="I27" s="304">
        <f t="shared" ca="1" si="13"/>
        <v>139.22538105687096</v>
      </c>
      <c r="J27" s="306">
        <f t="shared" ca="1" si="14"/>
        <v>116.19374189714146</v>
      </c>
      <c r="K27" s="307">
        <f t="shared" ca="1" si="15"/>
        <v>961.26505754074697</v>
      </c>
      <c r="L27" s="304">
        <f t="shared" ca="1" si="0"/>
        <v>968.26210114042738</v>
      </c>
      <c r="M27" s="306">
        <f t="shared" ca="1" si="16"/>
        <v>1.403466995090233</v>
      </c>
      <c r="N27" s="304">
        <f t="shared" ca="1" si="17"/>
        <v>80.41273550457818</v>
      </c>
      <c r="P27" s="310">
        <f t="shared" ca="1" si="18"/>
        <v>3</v>
      </c>
      <c r="Q27" s="304">
        <f t="shared" ca="1" si="19"/>
        <v>194.05172413793144</v>
      </c>
      <c r="R27" s="306">
        <f t="shared" ca="1" si="20"/>
        <v>0.10299291171600404</v>
      </c>
      <c r="S27" s="307">
        <f t="shared" ca="1" si="21"/>
        <v>4.1357806248729032</v>
      </c>
      <c r="T27" s="304">
        <f t="shared" ca="1" si="1"/>
        <v>40.572007930003181</v>
      </c>
      <c r="U27" s="311">
        <f t="shared" ca="1" si="2"/>
        <v>0</v>
      </c>
      <c r="V27" s="306">
        <f t="shared" ca="1" si="3"/>
        <v>1.1126451691007273</v>
      </c>
      <c r="W27" s="304">
        <f t="shared" ca="1" si="4"/>
        <v>31.495726346129597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961.26505754074697</v>
      </c>
      <c r="AG27" s="306">
        <f t="shared" ca="1" si="27"/>
        <v>29.662989671403025</v>
      </c>
      <c r="AH27" s="304">
        <f t="shared" ca="1" si="28"/>
        <v>39.336165738453609</v>
      </c>
    </row>
    <row r="28" spans="1:34" x14ac:dyDescent="0.2">
      <c r="A28" s="347">
        <f t="shared" ca="1" si="6"/>
        <v>0.01</v>
      </c>
      <c r="B28" s="304">
        <f t="shared" ca="1" si="7"/>
        <v>6.8399999999999945</v>
      </c>
      <c r="D28" s="306">
        <f t="shared" ca="1" si="8"/>
        <v>6.5130954517194377</v>
      </c>
      <c r="E28" s="307">
        <f t="shared" ca="1" si="9"/>
        <v>28.749854801786235</v>
      </c>
      <c r="F28" s="304">
        <f t="shared" ca="1" si="10"/>
        <v>29.478374505508263</v>
      </c>
      <c r="G28" s="306">
        <f t="shared" ca="1" si="11"/>
        <v>23.253059536585035</v>
      </c>
      <c r="H28" s="307">
        <f t="shared" ca="1" si="12"/>
        <v>137.56833005228813</v>
      </c>
      <c r="I28" s="304">
        <f t="shared" ca="1" si="13"/>
        <v>139.51971262580514</v>
      </c>
      <c r="J28" s="306">
        <f t="shared" ca="1" si="14"/>
        <v>116.42594683773473</v>
      </c>
      <c r="K28" s="307">
        <f t="shared" ca="1" si="15"/>
        <v>962.63930334852978</v>
      </c>
      <c r="L28" s="304">
        <f t="shared" ca="1" si="0"/>
        <v>969.65428346829151</v>
      </c>
      <c r="M28" s="306">
        <f t="shared" ca="1" si="16"/>
        <v>1.4033498896761212</v>
      </c>
      <c r="N28" s="304">
        <f t="shared" ca="1" si="17"/>
        <v>80.406025858591448</v>
      </c>
      <c r="P28" s="310">
        <f t="shared" ca="1" si="18"/>
        <v>3</v>
      </c>
      <c r="Q28" s="304">
        <f t="shared" ca="1" si="19"/>
        <v>193.18965517241423</v>
      </c>
      <c r="R28" s="306">
        <f t="shared" ca="1" si="20"/>
        <v>0.10253536879412044</v>
      </c>
      <c r="S28" s="307">
        <f t="shared" ca="1" si="21"/>
        <v>4.1347552711849618</v>
      </c>
      <c r="T28" s="304">
        <f t="shared" ca="1" si="1"/>
        <v>40.561949210324478</v>
      </c>
      <c r="U28" s="311">
        <f t="shared" ca="1" si="2"/>
        <v>0</v>
      </c>
      <c r="V28" s="306">
        <f t="shared" ca="1" si="3"/>
        <v>1.1124919203123838</v>
      </c>
      <c r="W28" s="304">
        <f t="shared" ca="1" si="4"/>
        <v>31.624678777860975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962.63930334852978</v>
      </c>
      <c r="AG28" s="306">
        <f t="shared" ca="1" si="27"/>
        <v>29.433061226997296</v>
      </c>
      <c r="AH28" s="304">
        <f t="shared" ca="1" si="28"/>
        <v>39.106045756353907</v>
      </c>
    </row>
    <row r="29" spans="1:34" x14ac:dyDescent="0.2">
      <c r="A29" s="347">
        <f t="shared" ca="1" si="6"/>
        <v>0.01</v>
      </c>
      <c r="B29" s="304">
        <f t="shared" ca="1" si="7"/>
        <v>6.8499999999999943</v>
      </c>
      <c r="D29" s="306">
        <f t="shared" ca="1" si="8"/>
        <v>6.4792641499354415</v>
      </c>
      <c r="E29" s="307">
        <f t="shared" ca="1" si="9"/>
        <v>28.522226676317196</v>
      </c>
      <c r="F29" s="304">
        <f t="shared" ca="1" si="10"/>
        <v>29.248902175976777</v>
      </c>
      <c r="G29" s="306">
        <f t="shared" ca="1" si="11"/>
        <v>23.31785217808439</v>
      </c>
      <c r="H29" s="307">
        <f t="shared" ca="1" si="12"/>
        <v>137.85355231905132</v>
      </c>
      <c r="I29" s="304">
        <f t="shared" ca="1" si="13"/>
        <v>139.81174527621209</v>
      </c>
      <c r="J29" s="306">
        <f t="shared" ca="1" si="14"/>
        <v>116.65880139630808</v>
      </c>
      <c r="K29" s="307">
        <f t="shared" ca="1" si="15"/>
        <v>964.01641276038652</v>
      </c>
      <c r="L29" s="304">
        <f t="shared" ca="1" si="0"/>
        <v>971.04939113035186</v>
      </c>
      <c r="M29" s="306">
        <f t="shared" ca="1" si="16"/>
        <v>1.4032329478471786</v>
      </c>
      <c r="N29" s="304">
        <f t="shared" ca="1" si="17"/>
        <v>80.399325585344485</v>
      </c>
      <c r="P29" s="310">
        <f t="shared" ca="1" si="18"/>
        <v>3</v>
      </c>
      <c r="Q29" s="304">
        <f t="shared" ca="1" si="19"/>
        <v>192.327586206897</v>
      </c>
      <c r="R29" s="306">
        <f t="shared" ca="1" si="20"/>
        <v>0.10207782587223681</v>
      </c>
      <c r="S29" s="307">
        <f t="shared" ca="1" si="21"/>
        <v>4.1337344929262398</v>
      </c>
      <c r="T29" s="304">
        <f t="shared" ca="1" si="1"/>
        <v>40.551935375606412</v>
      </c>
      <c r="U29" s="311">
        <f t="shared" ca="1" si="2"/>
        <v>0</v>
      </c>
      <c r="V29" s="306">
        <f t="shared" ca="1" si="3"/>
        <v>1.1123383723442739</v>
      </c>
      <c r="W29" s="304">
        <f t="shared" ca="1" si="4"/>
        <v>31.752823165906996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964.01641276038652</v>
      </c>
      <c r="AG29" s="306">
        <f t="shared" ca="1" si="27"/>
        <v>29.203169441677154</v>
      </c>
      <c r="AH29" s="304">
        <f t="shared" ca="1" si="28"/>
        <v>38.875962571866978</v>
      </c>
    </row>
    <row r="30" spans="1:34" x14ac:dyDescent="0.2">
      <c r="A30" s="347">
        <f t="shared" ca="1" si="6"/>
        <v>0.01</v>
      </c>
      <c r="B30" s="304">
        <f t="shared" ca="1" si="7"/>
        <v>6.8599999999999941</v>
      </c>
      <c r="D30" s="306">
        <f t="shared" ca="1" si="8"/>
        <v>6.4453799089570509</v>
      </c>
      <c r="E30" s="307">
        <f t="shared" ca="1" si="9"/>
        <v>28.294646590506282</v>
      </c>
      <c r="F30" s="304">
        <f t="shared" ca="1" si="10"/>
        <v>29.019475320074896</v>
      </c>
      <c r="G30" s="306">
        <f t="shared" ca="1" si="11"/>
        <v>23.38230597717396</v>
      </c>
      <c r="H30" s="307">
        <f t="shared" ca="1" si="12"/>
        <v>138.13649878495639</v>
      </c>
      <c r="I30" s="304">
        <f t="shared" ca="1" si="13"/>
        <v>140.10147939752972</v>
      </c>
      <c r="J30" s="306">
        <f t="shared" ca="1" si="14"/>
        <v>116.89230218708437</v>
      </c>
      <c r="K30" s="307">
        <f t="shared" ca="1" si="15"/>
        <v>965.39636301590656</v>
      </c>
      <c r="L30" s="304">
        <f t="shared" ca="1" si="0"/>
        <v>972.44740116622074</v>
      </c>
      <c r="M30" s="306">
        <f t="shared" ca="1" si="16"/>
        <v>1.4031161671200949</v>
      </c>
      <c r="N30" s="304">
        <f t="shared" ca="1" si="17"/>
        <v>80.39263454255412</v>
      </c>
      <c r="P30" s="310">
        <f t="shared" ca="1" si="18"/>
        <v>3</v>
      </c>
      <c r="Q30" s="304">
        <f t="shared" ca="1" si="19"/>
        <v>191.46551724137979</v>
      </c>
      <c r="R30" s="306">
        <f t="shared" ca="1" si="20"/>
        <v>0.10162028295035321</v>
      </c>
      <c r="S30" s="307">
        <f t="shared" ca="1" si="21"/>
        <v>4.1327182900967365</v>
      </c>
      <c r="T30" s="304">
        <f t="shared" ca="1" si="1"/>
        <v>40.54196642584899</v>
      </c>
      <c r="U30" s="311">
        <f t="shared" ca="1" si="2"/>
        <v>0</v>
      </c>
      <c r="V30" s="306">
        <f t="shared" ca="1" si="3"/>
        <v>1.11218452785556</v>
      </c>
      <c r="W30" s="304">
        <f t="shared" ca="1" si="4"/>
        <v>31.880153430226162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965.39636301590656</v>
      </c>
      <c r="AG30" s="306">
        <f t="shared" ca="1" si="27"/>
        <v>28.973316598396657</v>
      </c>
      <c r="AH30" s="304">
        <f t="shared" ca="1" si="28"/>
        <v>38.64591846441445</v>
      </c>
    </row>
    <row r="31" spans="1:34" x14ac:dyDescent="0.2">
      <c r="A31" s="347">
        <f t="shared" ca="1" si="6"/>
        <v>0.01</v>
      </c>
      <c r="B31" s="304">
        <f t="shared" ca="1" si="7"/>
        <v>6.8699999999999939</v>
      </c>
      <c r="D31" s="306">
        <f t="shared" ca="1" si="8"/>
        <v>6.4114433275188301</v>
      </c>
      <c r="E31" s="307">
        <f t="shared" ca="1" si="9"/>
        <v>28.067116751709897</v>
      </c>
      <c r="F31" s="304">
        <f t="shared" ca="1" si="10"/>
        <v>28.79009635788147</v>
      </c>
      <c r="G31" s="306">
        <f t="shared" ca="1" si="11"/>
        <v>23.44642041044915</v>
      </c>
      <c r="H31" s="307">
        <f t="shared" ca="1" si="12"/>
        <v>138.4171699524735</v>
      </c>
      <c r="I31" s="304">
        <f t="shared" ca="1" si="13"/>
        <v>140.38891540187728</v>
      </c>
      <c r="J31" s="306">
        <f t="shared" ca="1" si="14"/>
        <v>117.12644581902248</v>
      </c>
      <c r="K31" s="307">
        <f t="shared" ca="1" si="15"/>
        <v>966.77913135959375</v>
      </c>
      <c r="L31" s="304">
        <f t="shared" ca="1" si="0"/>
        <v>973.8482906195436</v>
      </c>
      <c r="M31" s="306">
        <f t="shared" ca="1" si="16"/>
        <v>1.4029995450334733</v>
      </c>
      <c r="N31" s="304">
        <f t="shared" ca="1" si="17"/>
        <v>80.385952589192698</v>
      </c>
      <c r="P31" s="310">
        <f t="shared" ca="1" si="18"/>
        <v>3</v>
      </c>
      <c r="Q31" s="304">
        <f t="shared" ca="1" si="19"/>
        <v>190.60344827586255</v>
      </c>
      <c r="R31" s="306">
        <f t="shared" ca="1" si="20"/>
        <v>0.10116274002846957</v>
      </c>
      <c r="S31" s="307">
        <f t="shared" ca="1" si="21"/>
        <v>4.1317066626964518</v>
      </c>
      <c r="T31" s="304">
        <f t="shared" ca="1" si="1"/>
        <v>40.532042361052191</v>
      </c>
      <c r="U31" s="311">
        <f t="shared" ca="1" si="2"/>
        <v>0</v>
      </c>
      <c r="V31" s="306">
        <f t="shared" ca="1" si="3"/>
        <v>1.1120303895037305</v>
      </c>
      <c r="W31" s="304">
        <f t="shared" ca="1" si="4"/>
        <v>32.006663560033253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966.77913135959375</v>
      </c>
      <c r="AG31" s="306">
        <f t="shared" ca="1" si="27"/>
        <v>28.743504965302769</v>
      </c>
      <c r="AH31" s="304">
        <f t="shared" ca="1" si="28"/>
        <v>38.415915698635224</v>
      </c>
    </row>
    <row r="32" spans="1:34" x14ac:dyDescent="0.2">
      <c r="A32" s="347">
        <f t="shared" ca="1" si="6"/>
        <v>0.01</v>
      </c>
      <c r="B32" s="304">
        <f t="shared" ca="1" si="7"/>
        <v>6.8799999999999937</v>
      </c>
      <c r="D32" s="306">
        <f t="shared" ca="1" si="8"/>
        <v>6.377454999791877</v>
      </c>
      <c r="E32" s="307">
        <f t="shared" ca="1" si="9"/>
        <v>27.839639352923875</v>
      </c>
      <c r="F32" s="304">
        <f t="shared" ca="1" si="10"/>
        <v>28.560767699332562</v>
      </c>
      <c r="G32" s="306">
        <f t="shared" ca="1" si="11"/>
        <v>23.51019496044707</v>
      </c>
      <c r="H32" s="307">
        <f t="shared" ca="1" si="12"/>
        <v>138.69556634600275</v>
      </c>
      <c r="I32" s="304">
        <f t="shared" ca="1" si="13"/>
        <v>140.67405372390704</v>
      </c>
      <c r="J32" s="306">
        <f t="shared" ca="1" si="14"/>
        <v>117.36122889587696</v>
      </c>
      <c r="K32" s="307">
        <f t="shared" ca="1" si="15"/>
        <v>968.16469504108613</v>
      </c>
      <c r="L32" s="304">
        <f t="shared" ca="1" si="0"/>
        <v>975.25203653822211</v>
      </c>
      <c r="M32" s="306">
        <f t="shared" ca="1" si="16"/>
        <v>1.4028830791474429</v>
      </c>
      <c r="N32" s="304">
        <f t="shared" ca="1" si="17"/>
        <v>80.379279585465909</v>
      </c>
      <c r="P32" s="310">
        <f t="shared" ca="1" si="18"/>
        <v>3</v>
      </c>
      <c r="Q32" s="304">
        <f t="shared" ca="1" si="19"/>
        <v>189.74137931034534</v>
      </c>
      <c r="R32" s="306">
        <f t="shared" ca="1" si="20"/>
        <v>0.10070519710658597</v>
      </c>
      <c r="S32" s="307">
        <f t="shared" ca="1" si="21"/>
        <v>4.1306996107253857</v>
      </c>
      <c r="T32" s="304">
        <f t="shared" ca="1" si="1"/>
        <v>40.522163181216037</v>
      </c>
      <c r="U32" s="311">
        <f t="shared" ca="1" si="2"/>
        <v>0</v>
      </c>
      <c r="V32" s="306">
        <f t="shared" ca="1" si="3"/>
        <v>1.1118759599445709</v>
      </c>
      <c r="W32" s="304">
        <f t="shared" ca="1" si="4"/>
        <v>32.132347613760075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968.16469504108613</v>
      </c>
      <c r="AG32" s="306">
        <f t="shared" ca="1" si="27"/>
        <v>28.513736795701082</v>
      </c>
      <c r="AH32" s="304">
        <f t="shared" ca="1" si="28"/>
        <v>38.185956524350736</v>
      </c>
    </row>
    <row r="33" spans="1:34" x14ac:dyDescent="0.2">
      <c r="A33" s="347">
        <f t="shared" ca="1" si="6"/>
        <v>0.01</v>
      </c>
      <c r="B33" s="304">
        <f t="shared" ca="1" si="7"/>
        <v>6.8899999999999935</v>
      </c>
      <c r="D33" s="306">
        <f t="shared" ca="1" si="8"/>
        <v>6.3434155154067682</v>
      </c>
      <c r="E33" s="307">
        <f t="shared" ca="1" si="9"/>
        <v>27.612216572747336</v>
      </c>
      <c r="F33" s="304">
        <f t="shared" ca="1" si="10"/>
        <v>28.331491744371775</v>
      </c>
      <c r="G33" s="306">
        <f t="shared" ca="1" si="11"/>
        <v>23.573629115601136</v>
      </c>
      <c r="H33" s="307">
        <f t="shared" ca="1" si="12"/>
        <v>138.97168851173024</v>
      </c>
      <c r="I33" s="304">
        <f t="shared" ca="1" si="13"/>
        <v>140.95689482065532</v>
      </c>
      <c r="J33" s="306">
        <f t="shared" ca="1" si="14"/>
        <v>117.59664801625721</v>
      </c>
      <c r="K33" s="307">
        <f t="shared" ca="1" si="15"/>
        <v>969.55303131537482</v>
      </c>
      <c r="L33" s="304">
        <f t="shared" ca="1" si="0"/>
        <v>976.65861597463606</v>
      </c>
      <c r="M33" s="306">
        <f t="shared" ca="1" si="16"/>
        <v>1.4027667670432742</v>
      </c>
      <c r="N33" s="304">
        <f t="shared" ca="1" si="17"/>
        <v>80.372615392790749</v>
      </c>
      <c r="P33" s="310">
        <f t="shared" ca="1" si="18"/>
        <v>3</v>
      </c>
      <c r="Q33" s="304">
        <f t="shared" ca="1" si="19"/>
        <v>188.8793103448281</v>
      </c>
      <c r="R33" s="306">
        <f t="shared" ca="1" si="20"/>
        <v>0.10024765418470236</v>
      </c>
      <c r="S33" s="307">
        <f t="shared" ca="1" si="21"/>
        <v>4.1296971341835391</v>
      </c>
      <c r="T33" s="304">
        <f t="shared" ca="1" si="1"/>
        <v>40.512328886340519</v>
      </c>
      <c r="U33" s="311">
        <f t="shared" ca="1" si="2"/>
        <v>0</v>
      </c>
      <c r="V33" s="306">
        <f t="shared" ca="1" si="3"/>
        <v>1.1117212418321316</v>
      </c>
      <c r="W33" s="304">
        <f t="shared" ca="1" si="4"/>
        <v>32.2571997190121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969.55303131537482</v>
      </c>
      <c r="AG33" s="306">
        <f t="shared" ca="1" si="27"/>
        <v>28.284014328022643</v>
      </c>
      <c r="AH33" s="304">
        <f t="shared" ca="1" si="28"/>
        <v>37.95604317653131</v>
      </c>
    </row>
    <row r="34" spans="1:34" x14ac:dyDescent="0.2">
      <c r="A34" s="347">
        <f t="shared" ca="1" si="6"/>
        <v>0.01</v>
      </c>
      <c r="B34" s="304">
        <f t="shared" ca="1" si="7"/>
        <v>6.8999999999999932</v>
      </c>
      <c r="D34" s="306">
        <f t="shared" ca="1" si="8"/>
        <v>6.3093254594761916</v>
      </c>
      <c r="E34" s="307">
        <f t="shared" ca="1" si="9"/>
        <v>27.384850575347869</v>
      </c>
      <c r="F34" s="304">
        <f t="shared" ca="1" si="10"/>
        <v>28.102270883110585</v>
      </c>
      <c r="G34" s="306">
        <f t="shared" ca="1" si="11"/>
        <v>23.636722370195898</v>
      </c>
      <c r="H34" s="307">
        <f t="shared" ca="1" si="12"/>
        <v>139.24553701748371</v>
      </c>
      <c r="I34" s="304">
        <f t="shared" ca="1" si="13"/>
        <v>141.23743917139373</v>
      </c>
      <c r="J34" s="306">
        <f t="shared" ca="1" si="14"/>
        <v>117.83269977368619</v>
      </c>
      <c r="K34" s="307">
        <f t="shared" ca="1" si="15"/>
        <v>970.9441174430209</v>
      </c>
      <c r="L34" s="304">
        <f t="shared" ca="1" si="0"/>
        <v>978.06800598586312</v>
      </c>
      <c r="M34" s="306">
        <f t="shared" ca="1" si="16"/>
        <v>1.4026506063230064</v>
      </c>
      <c r="N34" s="304">
        <f t="shared" ca="1" si="17"/>
        <v>80.365959873774216</v>
      </c>
      <c r="P34" s="310">
        <f t="shared" ca="1" si="18"/>
        <v>3</v>
      </c>
      <c r="Q34" s="304">
        <f t="shared" ca="1" si="19"/>
        <v>188.01724137931089</v>
      </c>
      <c r="R34" s="306">
        <f t="shared" ca="1" si="20"/>
        <v>9.979011126281874E-2</v>
      </c>
      <c r="S34" s="307">
        <f t="shared" ca="1" si="21"/>
        <v>4.1286992330709111</v>
      </c>
      <c r="T34" s="304">
        <f t="shared" ca="1" si="1"/>
        <v>40.502539476425639</v>
      </c>
      <c r="U34" s="311">
        <f t="shared" ca="1" si="2"/>
        <v>0</v>
      </c>
      <c r="V34" s="306">
        <f t="shared" ca="1" si="3"/>
        <v>1.1115662378186983</v>
      </c>
      <c r="W34" s="304">
        <f t="shared" ca="1" si="4"/>
        <v>32.381214072521246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970.9441174430209</v>
      </c>
      <c r="AG34" s="306">
        <f t="shared" ca="1" si="27"/>
        <v>28.054339785792163</v>
      </c>
      <c r="AH34" s="304">
        <f t="shared" ca="1" si="28"/>
        <v>37.726177875263886</v>
      </c>
    </row>
    <row r="35" spans="1:34" x14ac:dyDescent="0.2">
      <c r="A35" s="347">
        <f t="shared" ca="1" si="6"/>
        <v>0.01</v>
      </c>
      <c r="B35" s="304">
        <f t="shared" ca="1" si="7"/>
        <v>6.909999999999993</v>
      </c>
      <c r="D35" s="306">
        <f t="shared" ca="1" si="8"/>
        <v>6.2751854126168825</v>
      </c>
      <c r="E35" s="307">
        <f t="shared" ca="1" si="9"/>
        <v>27.15754351042775</v>
      </c>
      <c r="F35" s="304">
        <f t="shared" ca="1" si="10"/>
        <v>27.873107495998649</v>
      </c>
      <c r="G35" s="306">
        <f t="shared" ca="1" si="11"/>
        <v>23.699474224322067</v>
      </c>
      <c r="H35" s="307">
        <f t="shared" ca="1" si="12"/>
        <v>139.51711245258798</v>
      </c>
      <c r="I35" s="304">
        <f t="shared" ca="1" si="13"/>
        <v>141.51568727747954</v>
      </c>
      <c r="J35" s="306">
        <f t="shared" ca="1" si="14"/>
        <v>118.06938075665877</v>
      </c>
      <c r="K35" s="307">
        <f t="shared" ca="1" si="15"/>
        <v>972.33793069037131</v>
      </c>
      <c r="L35" s="304">
        <f t="shared" ca="1" si="0"/>
        <v>979.48018363389781</v>
      </c>
      <c r="M35" s="306">
        <f t="shared" ca="1" si="16"/>
        <v>1.4025345946090773</v>
      </c>
      <c r="N35" s="304">
        <f t="shared" ca="1" si="17"/>
        <v>80.359312892191994</v>
      </c>
      <c r="P35" s="310">
        <f t="shared" ca="1" si="18"/>
        <v>3</v>
      </c>
      <c r="Q35" s="304">
        <f t="shared" ca="1" si="19"/>
        <v>187.15517241379365</v>
      </c>
      <c r="R35" s="306">
        <f t="shared" ca="1" si="20"/>
        <v>9.9332568340935123E-2</v>
      </c>
      <c r="S35" s="307">
        <f t="shared" ca="1" si="21"/>
        <v>4.1277059073875018</v>
      </c>
      <c r="T35" s="304">
        <f t="shared" ca="1" si="1"/>
        <v>40.492794951471396</v>
      </c>
      <c r="U35" s="311">
        <f t="shared" ca="1" si="2"/>
        <v>0</v>
      </c>
      <c r="V35" s="306">
        <f t="shared" ca="1" si="3"/>
        <v>1.1114109505547631</v>
      </c>
      <c r="W35" s="304">
        <f t="shared" ca="1" si="4"/>
        <v>32.504384940094525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972.33793069037131</v>
      </c>
      <c r="AG35" s="306">
        <f t="shared" ca="1" si="27"/>
        <v>27.824715377597144</v>
      </c>
      <c r="AH35" s="304">
        <f t="shared" ca="1" si="28"/>
        <v>37.496362825720695</v>
      </c>
    </row>
    <row r="36" spans="1:34" x14ac:dyDescent="0.2">
      <c r="A36" s="347">
        <f t="shared" ca="1" si="6"/>
        <v>0.01</v>
      </c>
      <c r="B36" s="304">
        <f t="shared" ca="1" si="7"/>
        <v>6.9199999999999928</v>
      </c>
      <c r="D36" s="306">
        <f t="shared" ca="1" si="8"/>
        <v>6.2409959509712856</v>
      </c>
      <c r="E36" s="307">
        <f t="shared" ca="1" si="9"/>
        <v>26.930297513191562</v>
      </c>
      <c r="F36" s="304">
        <f t="shared" ca="1" si="10"/>
        <v>27.644003954005136</v>
      </c>
      <c r="G36" s="306">
        <f t="shared" ca="1" si="11"/>
        <v>23.761884183831778</v>
      </c>
      <c r="H36" s="307">
        <f t="shared" ca="1" si="12"/>
        <v>139.7864154277199</v>
      </c>
      <c r="I36" s="304">
        <f t="shared" ca="1" si="13"/>
        <v>141.79163966220619</v>
      </c>
      <c r="J36" s="306">
        <f t="shared" ca="1" si="14"/>
        <v>118.30668754869954</v>
      </c>
      <c r="K36" s="307">
        <f t="shared" ca="1" si="15"/>
        <v>973.73444832977282</v>
      </c>
      <c r="L36" s="304">
        <f t="shared" ca="1" si="0"/>
        <v>980.89512598586839</v>
      </c>
      <c r="M36" s="306">
        <f t="shared" ca="1" si="16"/>
        <v>1.4024187295439614</v>
      </c>
      <c r="N36" s="304">
        <f t="shared" ca="1" si="17"/>
        <v>80.352674312967849</v>
      </c>
      <c r="P36" s="310">
        <f t="shared" ca="1" si="18"/>
        <v>3</v>
      </c>
      <c r="Q36" s="304">
        <f t="shared" ca="1" si="19"/>
        <v>186.29310344827644</v>
      </c>
      <c r="R36" s="306">
        <f t="shared" ca="1" si="20"/>
        <v>9.8875025419051507E-2</v>
      </c>
      <c r="S36" s="307">
        <f t="shared" ca="1" si="21"/>
        <v>4.126717157133311</v>
      </c>
      <c r="T36" s="304">
        <f t="shared" ca="1" si="1"/>
        <v>40.483095311477783</v>
      </c>
      <c r="U36" s="311">
        <f t="shared" ca="1" si="2"/>
        <v>0</v>
      </c>
      <c r="V36" s="306">
        <f t="shared" ca="1" si="3"/>
        <v>1.1112553826889937</v>
      </c>
      <c r="W36" s="304">
        <f t="shared" ca="1" si="4"/>
        <v>32.626706656558866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973.73444832977282</v>
      </c>
      <c r="AG36" s="306">
        <f t="shared" ca="1" si="27"/>
        <v>27.595143297058314</v>
      </c>
      <c r="AH36" s="304">
        <f t="shared" ca="1" si="28"/>
        <v>37.266600218129241</v>
      </c>
    </row>
    <row r="37" spans="1:34" x14ac:dyDescent="0.2">
      <c r="A37" s="347">
        <f t="shared" ca="1" si="6"/>
        <v>0.01</v>
      </c>
      <c r="B37" s="304">
        <f t="shared" ca="1" si="7"/>
        <v>6.9299999999999926</v>
      </c>
      <c r="D37" s="306">
        <f t="shared" ca="1" si="8"/>
        <v>6.2067576462286649</v>
      </c>
      <c r="E37" s="307">
        <f t="shared" ca="1" si="9"/>
        <v>26.703114704314963</v>
      </c>
      <c r="F37" s="304">
        <f t="shared" ca="1" si="10"/>
        <v>27.41496261881128</v>
      </c>
      <c r="G37" s="306">
        <f t="shared" ca="1" si="11"/>
        <v>23.823951760294065</v>
      </c>
      <c r="H37" s="307">
        <f t="shared" ca="1" si="12"/>
        <v>140.05344657476306</v>
      </c>
      <c r="I37" s="304">
        <f t="shared" ca="1" si="13"/>
        <v>142.06529687065321</v>
      </c>
      <c r="J37" s="306">
        <f t="shared" ca="1" si="14"/>
        <v>118.54461672842017</v>
      </c>
      <c r="K37" s="307">
        <f t="shared" ca="1" si="15"/>
        <v>975.13364763978518</v>
      </c>
      <c r="L37" s="304">
        <f t="shared" ca="1" si="0"/>
        <v>982.31281011425312</v>
      </c>
      <c r="M37" s="306">
        <f t="shared" ca="1" si="16"/>
        <v>1.4023030087898154</v>
      </c>
      <c r="N37" s="304">
        <f t="shared" ca="1" si="17"/>
        <v>80.346044002153207</v>
      </c>
      <c r="P37" s="310">
        <f t="shared" ca="1" si="18"/>
        <v>3</v>
      </c>
      <c r="Q37" s="304">
        <f t="shared" ca="1" si="19"/>
        <v>185.43103448275923</v>
      </c>
      <c r="R37" s="306">
        <f t="shared" ca="1" si="20"/>
        <v>9.8417482497167905E-2</v>
      </c>
      <c r="S37" s="307">
        <f t="shared" ca="1" si="21"/>
        <v>4.1257329823083397</v>
      </c>
      <c r="T37" s="304">
        <f t="shared" ca="1" si="1"/>
        <v>40.473440556444814</v>
      </c>
      <c r="U37" s="311">
        <f t="shared" ca="1" si="2"/>
        <v>0</v>
      </c>
      <c r="V37" s="306">
        <f t="shared" ca="1" si="3"/>
        <v>1.1110995368682048</v>
      </c>
      <c r="W37" s="304">
        <f t="shared" ca="1" si="4"/>
        <v>32.748173625701895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975.13364763978518</v>
      </c>
      <c r="AG37" s="306">
        <f t="shared" ca="1" si="27"/>
        <v>27.365625722801177</v>
      </c>
      <c r="AH37" s="304">
        <f t="shared" ca="1" si="28"/>
        <v>37.036892227743401</v>
      </c>
    </row>
    <row r="38" spans="1:34" x14ac:dyDescent="0.2">
      <c r="A38" s="347">
        <f t="shared" ca="1" si="6"/>
        <v>0.01</v>
      </c>
      <c r="B38" s="304">
        <f t="shared" ca="1" si="7"/>
        <v>6.9399999999999924</v>
      </c>
      <c r="D38" s="306">
        <f t="shared" ca="1" si="8"/>
        <v>6.1724710656457997</v>
      </c>
      <c r="E38" s="307">
        <f t="shared" ca="1" si="9"/>
        <v>26.475997189914715</v>
      </c>
      <c r="F38" s="304">
        <f t="shared" ca="1" si="10"/>
        <v>27.185985843014898</v>
      </c>
      <c r="G38" s="306">
        <f t="shared" ca="1" si="11"/>
        <v>23.885676470950521</v>
      </c>
      <c r="H38" s="307">
        <f t="shared" ca="1" si="12"/>
        <v>140.3182065466622</v>
      </c>
      <c r="I38" s="304">
        <f t="shared" ca="1" si="13"/>
        <v>142.33665946953607</v>
      </c>
      <c r="J38" s="306">
        <f t="shared" ca="1" si="14"/>
        <v>118.7831648695764</v>
      </c>
      <c r="K38" s="307">
        <f t="shared" ca="1" si="15"/>
        <v>976.53550590539226</v>
      </c>
      <c r="L38" s="304">
        <f t="shared" ca="1" si="0"/>
        <v>983.73321309709445</v>
      </c>
      <c r="M38" s="306">
        <f t="shared" ca="1" si="16"/>
        <v>1.4021874300281283</v>
      </c>
      <c r="N38" s="304">
        <f t="shared" ca="1" si="17"/>
        <v>80.339421826907184</v>
      </c>
      <c r="P38" s="310">
        <f t="shared" ca="1" si="18"/>
        <v>3</v>
      </c>
      <c r="Q38" s="304">
        <f t="shared" ca="1" si="19"/>
        <v>184.56896551724199</v>
      </c>
      <c r="R38" s="306">
        <f t="shared" ca="1" si="20"/>
        <v>9.7959939575284288E-2</v>
      </c>
      <c r="S38" s="307">
        <f t="shared" ca="1" si="21"/>
        <v>4.1247533829125871</v>
      </c>
      <c r="T38" s="304">
        <f t="shared" ca="1" si="1"/>
        <v>40.463830686372482</v>
      </c>
      <c r="U38" s="311">
        <f t="shared" ca="1" si="2"/>
        <v>0</v>
      </c>
      <c r="V38" s="306">
        <f t="shared" ca="1" si="3"/>
        <v>1.110943415737329</v>
      </c>
      <c r="W38" s="304">
        <f t="shared" ca="1" si="4"/>
        <v>32.868780320209019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976.53550590539226</v>
      </c>
      <c r="AG38" s="306">
        <f t="shared" ca="1" si="27"/>
        <v>27.136164818428739</v>
      </c>
      <c r="AH38" s="304">
        <f t="shared" ca="1" si="28"/>
        <v>36.80724101481573</v>
      </c>
    </row>
    <row r="39" spans="1:34" x14ac:dyDescent="0.2">
      <c r="A39" s="347">
        <f t="shared" ca="1" si="6"/>
        <v>0.01</v>
      </c>
      <c r="B39" s="304">
        <f t="shared" ca="1" si="7"/>
        <v>6.9499999999999922</v>
      </c>
      <c r="D39" s="306">
        <f t="shared" ca="1" si="8"/>
        <v>6.1381367720672495</v>
      </c>
      <c r="E39" s="307">
        <f t="shared" ca="1" si="9"/>
        <v>26.24894706151985</v>
      </c>
      <c r="F39" s="304">
        <f t="shared" ca="1" si="10"/>
        <v>26.957075970347297</v>
      </c>
      <c r="G39" s="306">
        <f t="shared" ca="1" si="11"/>
        <v>23.947057838671196</v>
      </c>
      <c r="H39" s="307">
        <f t="shared" ca="1" si="12"/>
        <v>140.5806960172774</v>
      </c>
      <c r="I39" s="304">
        <f t="shared" ca="1" si="13"/>
        <v>142.60572804705572</v>
      </c>
      <c r="J39" s="306">
        <f t="shared" ca="1" si="14"/>
        <v>119.02232854112451</v>
      </c>
      <c r="K39" s="307">
        <f t="shared" ca="1" si="15"/>
        <v>977.94000041821198</v>
      </c>
      <c r="L39" s="304">
        <f t="shared" ca="1" si="0"/>
        <v>985.15631201821157</v>
      </c>
      <c r="M39" s="306">
        <f t="shared" ca="1" si="16"/>
        <v>1.4020719909593771</v>
      </c>
      <c r="N39" s="304">
        <f t="shared" ca="1" si="17"/>
        <v>80.332807655476827</v>
      </c>
      <c r="P39" s="310">
        <f t="shared" ca="1" si="18"/>
        <v>3</v>
      </c>
      <c r="Q39" s="304">
        <f t="shared" ca="1" si="19"/>
        <v>183.70689655172475</v>
      </c>
      <c r="R39" s="306">
        <f t="shared" ca="1" si="20"/>
        <v>9.7502396653400658E-2</v>
      </c>
      <c r="S39" s="307">
        <f t="shared" ca="1" si="21"/>
        <v>4.123778358946053</v>
      </c>
      <c r="T39" s="304">
        <f t="shared" ca="1" si="1"/>
        <v>40.45426570126078</v>
      </c>
      <c r="U39" s="311">
        <f t="shared" ca="1" si="2"/>
        <v>0</v>
      </c>
      <c r="V39" s="306">
        <f t="shared" ca="1" si="3"/>
        <v>1.1107870219393872</v>
      </c>
      <c r="W39" s="304">
        <f t="shared" ca="1" si="4"/>
        <v>32.988521281596491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977.94000041821198</v>
      </c>
      <c r="AG39" s="306">
        <f t="shared" ca="1" si="27"/>
        <v>26.906762732495299</v>
      </c>
      <c r="AH39" s="304">
        <f t="shared" ca="1" si="28"/>
        <v>36.577648724570793</v>
      </c>
    </row>
    <row r="40" spans="1:34" x14ac:dyDescent="0.2">
      <c r="A40" s="347">
        <f t="shared" ca="1" si="6"/>
        <v>0.01</v>
      </c>
      <c r="B40" s="304">
        <f t="shared" ca="1" si="7"/>
        <v>6.959999999999992</v>
      </c>
      <c r="D40" s="306">
        <f t="shared" ca="1" si="8"/>
        <v>6.1037553239452871</v>
      </c>
      <c r="E40" s="307">
        <f t="shared" ca="1" si="9"/>
        <v>26.021966396044128</v>
      </c>
      <c r="F40" s="304">
        <f t="shared" ca="1" si="10"/>
        <v>26.728235335903495</v>
      </c>
      <c r="G40" s="306">
        <f t="shared" ca="1" si="11"/>
        <v>24.008095391910647</v>
      </c>
      <c r="H40" s="307">
        <f t="shared" ca="1" si="12"/>
        <v>140.84091568123785</v>
      </c>
      <c r="I40" s="304">
        <f t="shared" ca="1" si="13"/>
        <v>142.8725032127478</v>
      </c>
      <c r="J40" s="306">
        <f t="shared" ca="1" si="14"/>
        <v>119.26210430727741</v>
      </c>
      <c r="K40" s="307">
        <f t="shared" ca="1" si="15"/>
        <v>979.34710847670453</v>
      </c>
      <c r="L40" s="304">
        <f t="shared" ca="1" si="0"/>
        <v>986.58208396741225</v>
      </c>
      <c r="M40" s="306">
        <f t="shared" ca="1" si="16"/>
        <v>1.4019566893026911</v>
      </c>
      <c r="N40" s="304">
        <f t="shared" ca="1" si="17"/>
        <v>80.326201357177851</v>
      </c>
      <c r="P40" s="310">
        <f t="shared" ca="1" si="18"/>
        <v>3</v>
      </c>
      <c r="Q40" s="304">
        <f t="shared" ca="1" si="19"/>
        <v>182.84482758620754</v>
      </c>
      <c r="R40" s="306">
        <f t="shared" ca="1" si="20"/>
        <v>9.7044853731517056E-2</v>
      </c>
      <c r="S40" s="307">
        <f t="shared" ca="1" si="21"/>
        <v>4.1228079104087376</v>
      </c>
      <c r="T40" s="304">
        <f t="shared" ca="1" si="1"/>
        <v>40.444745601109716</v>
      </c>
      <c r="U40" s="311">
        <f t="shared" ca="1" si="2"/>
        <v>0</v>
      </c>
      <c r="V40" s="306">
        <f t="shared" ca="1" si="3"/>
        <v>1.1106303581154608</v>
      </c>
      <c r="W40" s="304">
        <f t="shared" ca="1" si="4"/>
        <v>33.107391120140903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979.34710847670453</v>
      </c>
      <c r="AG40" s="306">
        <f t="shared" ca="1" si="27"/>
        <v>26.677421598481487</v>
      </c>
      <c r="AH40" s="304">
        <f t="shared" ca="1" si="28"/>
        <v>36.348117487179799</v>
      </c>
    </row>
    <row r="41" spans="1:34" x14ac:dyDescent="0.2">
      <c r="A41" s="347">
        <f t="shared" ca="1" si="6"/>
        <v>0.01</v>
      </c>
      <c r="B41" s="304">
        <f t="shared" ca="1" si="7"/>
        <v>6.9699999999999918</v>
      </c>
      <c r="D41" s="306">
        <f t="shared" ca="1" si="8"/>
        <v>6.0693272753592939</v>
      </c>
      <c r="E41" s="307">
        <f t="shared" ca="1" si="9"/>
        <v>25.795057255759538</v>
      </c>
      <c r="F41" s="304">
        <f t="shared" ca="1" si="10"/>
        <v>26.499466266386065</v>
      </c>
      <c r="G41" s="306">
        <f t="shared" ca="1" si="11"/>
        <v>24.06878866466424</v>
      </c>
      <c r="H41" s="307">
        <f t="shared" ca="1" si="12"/>
        <v>141.09886625379545</v>
      </c>
      <c r="I41" s="304">
        <f t="shared" ca="1" si="13"/>
        <v>143.13698559733163</v>
      </c>
      <c r="J41" s="306">
        <f t="shared" ca="1" si="14"/>
        <v>119.50248872756029</v>
      </c>
      <c r="K41" s="307">
        <f t="shared" ca="1" si="15"/>
        <v>980.75680738637971</v>
      </c>
      <c r="L41" s="304">
        <f t="shared" ca="1" si="0"/>
        <v>988.01050604070247</v>
      </c>
      <c r="M41" s="306">
        <f t="shared" ca="1" si="16"/>
        <v>1.4018415227955199</v>
      </c>
      <c r="N41" s="304">
        <f t="shared" ca="1" si="17"/>
        <v>80.31960280237567</v>
      </c>
      <c r="P41" s="310">
        <f t="shared" ca="1" si="18"/>
        <v>3</v>
      </c>
      <c r="Q41" s="304">
        <f t="shared" ca="1" si="19"/>
        <v>181.98275862069033</v>
      </c>
      <c r="R41" s="306">
        <f t="shared" ca="1" si="20"/>
        <v>9.6587310809633439E-2</v>
      </c>
      <c r="S41" s="307">
        <f t="shared" ca="1" si="21"/>
        <v>4.1218420373006417</v>
      </c>
      <c r="T41" s="304">
        <f t="shared" ca="1" si="1"/>
        <v>40.435270385919296</v>
      </c>
      <c r="U41" s="311">
        <f t="shared" ca="1" si="2"/>
        <v>0</v>
      </c>
      <c r="V41" s="306">
        <f t="shared" ca="1" si="3"/>
        <v>1.1104734269046628</v>
      </c>
      <c r="W41" s="304">
        <f t="shared" ca="1" si="4"/>
        <v>33.225384514804631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980.75680738637971</v>
      </c>
      <c r="AG41" s="306">
        <f t="shared" ca="1" si="27"/>
        <v>26.448143534770292</v>
      </c>
      <c r="AH41" s="304">
        <f t="shared" ca="1" si="28"/>
        <v>36.118649417736201</v>
      </c>
    </row>
    <row r="42" spans="1:34" x14ac:dyDescent="0.2">
      <c r="A42" s="347">
        <f t="shared" ca="1" si="6"/>
        <v>0.01</v>
      </c>
      <c r="B42" s="304">
        <f t="shared" ca="1" si="7"/>
        <v>6.9799999999999915</v>
      </c>
      <c r="D42" s="306">
        <f t="shared" ca="1" si="8"/>
        <v>6.034853176034896</v>
      </c>
      <c r="E42" s="307">
        <f t="shared" ca="1" si="9"/>
        <v>25.568221688271215</v>
      </c>
      <c r="F42" s="304">
        <f t="shared" ca="1" si="10"/>
        <v>26.27077108036384</v>
      </c>
      <c r="G42" s="306">
        <f t="shared" ca="1" si="11"/>
        <v>24.12913719642459</v>
      </c>
      <c r="H42" s="307">
        <f t="shared" ca="1" si="12"/>
        <v>141.35454847067817</v>
      </c>
      <c r="I42" s="304">
        <f t="shared" ca="1" si="13"/>
        <v>143.39917585255915</v>
      </c>
      <c r="J42" s="306">
        <f t="shared" ca="1" si="14"/>
        <v>119.74347835686574</v>
      </c>
      <c r="K42" s="307">
        <f t="shared" ca="1" si="15"/>
        <v>982.16907446000209</v>
      </c>
      <c r="L42" s="304">
        <f t="shared" ca="1" si="0"/>
        <v>989.44155534049526</v>
      </c>
      <c r="M42" s="306">
        <f t="shared" ca="1" si="16"/>
        <v>1.4017264891933066</v>
      </c>
      <c r="N42" s="304">
        <f t="shared" ca="1" si="17"/>
        <v>80.313011862466666</v>
      </c>
      <c r="P42" s="310">
        <f t="shared" ca="1" si="18"/>
        <v>3</v>
      </c>
      <c r="Q42" s="304">
        <f t="shared" ca="1" si="19"/>
        <v>181.12068965517309</v>
      </c>
      <c r="R42" s="306">
        <f t="shared" ca="1" si="20"/>
        <v>9.6129767887749823E-2</v>
      </c>
      <c r="S42" s="307">
        <f t="shared" ca="1" si="21"/>
        <v>4.1208807396217644</v>
      </c>
      <c r="T42" s="304">
        <f t="shared" ca="1" si="1"/>
        <v>40.425840055689513</v>
      </c>
      <c r="U42" s="311">
        <f t="shared" ca="1" si="2"/>
        <v>0</v>
      </c>
      <c r="V42" s="306">
        <f t="shared" ca="1" si="3"/>
        <v>1.1103162309441104</v>
      </c>
      <c r="W42" s="304">
        <f t="shared" ca="1" si="4"/>
        <v>33.342496213157929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982.16907446000209</v>
      </c>
      <c r="AG42" s="306">
        <f t="shared" ca="1" si="27"/>
        <v>26.218930644624358</v>
      </c>
      <c r="AH42" s="304">
        <f t="shared" ca="1" si="28"/>
        <v>35.88924661623259</v>
      </c>
    </row>
    <row r="43" spans="1:34" x14ac:dyDescent="0.2">
      <c r="A43" s="347">
        <f t="shared" ca="1" si="6"/>
        <v>0.01</v>
      </c>
      <c r="B43" s="304">
        <f t="shared" ca="1" si="7"/>
        <v>6.9899999999999913</v>
      </c>
      <c r="D43" s="306">
        <f t="shared" ca="1" si="8"/>
        <v>6.0003335713626855</v>
      </c>
      <c r="E43" s="307">
        <f t="shared" ca="1" si="9"/>
        <v>25.341461726493257</v>
      </c>
      <c r="F43" s="304">
        <f t="shared" ca="1" si="10"/>
        <v>26.042152088545691</v>
      </c>
      <c r="G43" s="306">
        <f t="shared" ca="1" si="11"/>
        <v>24.189140532138218</v>
      </c>
      <c r="H43" s="307">
        <f t="shared" ca="1" si="12"/>
        <v>141.60796308794309</v>
      </c>
      <c r="I43" s="304">
        <f t="shared" ca="1" si="13"/>
        <v>143.65907465106332</v>
      </c>
      <c r="J43" s="306">
        <f t="shared" ca="1" si="14"/>
        <v>119.98506974550855</v>
      </c>
      <c r="K43" s="307">
        <f t="shared" ca="1" si="15"/>
        <v>983.58388701779518</v>
      </c>
      <c r="L43" s="304">
        <f t="shared" ca="1" si="0"/>
        <v>990.87520897581715</v>
      </c>
      <c r="M43" s="306">
        <f t="shared" ca="1" si="16"/>
        <v>1.4016115862691689</v>
      </c>
      <c r="N43" s="304">
        <f t="shared" ca="1" si="17"/>
        <v>80.306428409859862</v>
      </c>
      <c r="P43" s="310">
        <f t="shared" ca="1" si="18"/>
        <v>3</v>
      </c>
      <c r="Q43" s="304">
        <f t="shared" ca="1" si="19"/>
        <v>180.25862068965588</v>
      </c>
      <c r="R43" s="306">
        <f t="shared" ca="1" si="20"/>
        <v>9.567222496586622E-2</v>
      </c>
      <c r="S43" s="307">
        <f t="shared" ca="1" si="21"/>
        <v>4.1199240173721057</v>
      </c>
      <c r="T43" s="304">
        <f t="shared" ca="1" si="1"/>
        <v>40.416454610420359</v>
      </c>
      <c r="U43" s="311">
        <f t="shared" ca="1" si="2"/>
        <v>0</v>
      </c>
      <c r="V43" s="306">
        <f t="shared" ca="1" si="3"/>
        <v>1.1101587728688955</v>
      </c>
      <c r="W43" s="304">
        <f t="shared" ca="1" si="4"/>
        <v>33.458721031296967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983.58388701779518</v>
      </c>
      <c r="AG43" s="306">
        <f t="shared" ca="1" si="27"/>
        <v>25.989785016164284</v>
      </c>
      <c r="AH43" s="304">
        <f t="shared" ca="1" si="28"/>
        <v>35.659911167538574</v>
      </c>
    </row>
    <row r="44" spans="1:34" x14ac:dyDescent="0.2">
      <c r="A44" s="347">
        <f t="shared" ca="1" si="6"/>
        <v>0.01</v>
      </c>
      <c r="B44" s="304">
        <f t="shared" ca="1" si="7"/>
        <v>6.9999999999999911</v>
      </c>
      <c r="D44" s="306">
        <f t="shared" ca="1" si="8"/>
        <v>5.965769002416546</v>
      </c>
      <c r="E44" s="307">
        <f t="shared" ca="1" si="9"/>
        <v>25.114779388625927</v>
      </c>
      <c r="F44" s="304">
        <f t="shared" ca="1" si="10"/>
        <v>25.813611594070746</v>
      </c>
      <c r="G44" s="306">
        <f t="shared" ca="1" si="11"/>
        <v>24.248798222162385</v>
      </c>
      <c r="H44" s="307">
        <f t="shared" ca="1" si="12"/>
        <v>141.85911088182934</v>
      </c>
      <c r="I44" s="304">
        <f t="shared" ca="1" si="13"/>
        <v>143.91668268620666</v>
      </c>
      <c r="J44" s="306">
        <f t="shared" ca="1" si="14"/>
        <v>120.22725943928006</v>
      </c>
      <c r="K44" s="307">
        <f t="shared" ca="1" si="15"/>
        <v>985.00122238764402</v>
      </c>
      <c r="L44" s="304">
        <f t="shared" ca="1" si="0"/>
        <v>992.31144406251451</v>
      </c>
      <c r="M44" s="306">
        <f t="shared" ca="1" si="16"/>
        <v>1.4014968118135835</v>
      </c>
      <c r="N44" s="304">
        <f t="shared" ca="1" si="17"/>
        <v>80.299852317958909</v>
      </c>
      <c r="P44" s="310">
        <f t="shared" ca="1" si="18"/>
        <v>3</v>
      </c>
      <c r="Q44" s="304">
        <f t="shared" ca="1" si="19"/>
        <v>179.39655172413865</v>
      </c>
      <c r="R44" s="306">
        <f t="shared" ca="1" si="20"/>
        <v>9.521468204398259E-2</v>
      </c>
      <c r="S44" s="307">
        <f t="shared" ca="1" si="21"/>
        <v>4.1189718705516656</v>
      </c>
      <c r="T44" s="304">
        <f t="shared" ca="1" si="1"/>
        <v>40.407114050111844</v>
      </c>
      <c r="U44" s="311">
        <f t="shared" ca="1" si="2"/>
        <v>0</v>
      </c>
      <c r="V44" s="306">
        <f t="shared" ca="1" si="3"/>
        <v>1.1100010553120592</v>
      </c>
      <c r="W44" s="304">
        <f t="shared" ca="1" si="4"/>
        <v>33.574053853758564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>
        <f t="shared" ca="1" si="25"/>
        <v>6.9999999999999911</v>
      </c>
      <c r="AD44" s="323">
        <f t="shared" ca="1" si="26"/>
        <v>120.22725943928006</v>
      </c>
      <c r="AE44" s="324">
        <f t="shared" ca="1" si="5"/>
        <v>985.00122238764402</v>
      </c>
      <c r="AG44" s="306">
        <f t="shared" ca="1" si="27"/>
        <v>25.760708722348085</v>
      </c>
      <c r="AH44" s="304">
        <f t="shared" ca="1" si="28"/>
        <v>35.430645141379863</v>
      </c>
    </row>
    <row r="45" spans="1:34" x14ac:dyDescent="0.2">
      <c r="A45" s="347">
        <f t="shared" ca="1" si="6"/>
        <v>0.01</v>
      </c>
      <c r="B45" s="304">
        <f t="shared" ca="1" si="7"/>
        <v>7.0099999999999909</v>
      </c>
      <c r="D45" s="306">
        <f t="shared" ca="1" si="8"/>
        <v>5.9311600059716856</v>
      </c>
      <c r="E45" s="307">
        <f t="shared" ca="1" si="9"/>
        <v>24.888176678133867</v>
      </c>
      <c r="F45" s="304">
        <f t="shared" ca="1" si="10"/>
        <v>25.585151892815578</v>
      </c>
      <c r="G45" s="306">
        <f t="shared" ca="1" si="11"/>
        <v>24.308109822222104</v>
      </c>
      <c r="H45" s="307">
        <f t="shared" ca="1" si="12"/>
        <v>142.10799264861069</v>
      </c>
      <c r="I45" s="304">
        <f t="shared" ca="1" si="13"/>
        <v>144.17200067192937</v>
      </c>
      <c r="J45" s="306">
        <f t="shared" ca="1" si="14"/>
        <v>120.47004397950198</v>
      </c>
      <c r="K45" s="307">
        <f t="shared" ca="1" si="15"/>
        <v>986.42105790529627</v>
      </c>
      <c r="L45" s="304">
        <f t="shared" ca="1" si="0"/>
        <v>993.75023772345685</v>
      </c>
      <c r="M45" s="306">
        <f t="shared" ca="1" si="16"/>
        <v>1.4013821636340762</v>
      </c>
      <c r="N45" s="304">
        <f t="shared" ca="1" si="17"/>
        <v>80.293283461144284</v>
      </c>
      <c r="P45" s="310">
        <f t="shared" ca="1" si="18"/>
        <v>3</v>
      </c>
      <c r="Q45" s="304">
        <f t="shared" ca="1" si="19"/>
        <v>178.53448275862144</v>
      </c>
      <c r="R45" s="306">
        <f t="shared" ca="1" si="20"/>
        <v>9.4757139122098988E-2</v>
      </c>
      <c r="S45" s="307">
        <f t="shared" ca="1" si="21"/>
        <v>4.118024299160445</v>
      </c>
      <c r="T45" s="304">
        <f t="shared" ca="1" si="1"/>
        <v>40.397818374763965</v>
      </c>
      <c r="U45" s="311">
        <f t="shared" ca="1" si="2"/>
        <v>0</v>
      </c>
      <c r="V45" s="306">
        <f t="shared" ca="1" si="3"/>
        <v>1.109843080904563</v>
      </c>
      <c r="W45" s="304">
        <f t="shared" ca="1" si="4"/>
        <v>33.688489633431118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986.42105790529627</v>
      </c>
      <c r="AG45" s="306">
        <f t="shared" ca="1" si="27"/>
        <v>25.531703820951712</v>
      </c>
      <c r="AH45" s="304">
        <f t="shared" ca="1" si="28"/>
        <v>35.201450592318366</v>
      </c>
    </row>
    <row r="46" spans="1:34" x14ac:dyDescent="0.2">
      <c r="A46" s="347">
        <f t="shared" ca="1" si="6"/>
        <v>0.01</v>
      </c>
      <c r="B46" s="304">
        <f t="shared" ca="1" si="7"/>
        <v>7.0199999999999907</v>
      </c>
      <c r="D46" s="306">
        <f t="shared" ca="1" si="8"/>
        <v>5.8965071145223078</v>
      </c>
      <c r="E46" s="307">
        <f t="shared" ca="1" si="9"/>
        <v>24.661655583725569</v>
      </c>
      <c r="F46" s="304">
        <f t="shared" ca="1" si="10"/>
        <v>25.356775273719542</v>
      </c>
      <c r="G46" s="306">
        <f t="shared" ca="1" si="11"/>
        <v>24.367074893367327</v>
      </c>
      <c r="H46" s="307">
        <f t="shared" ca="1" si="12"/>
        <v>142.35460920444794</v>
      </c>
      <c r="I46" s="304">
        <f t="shared" ca="1" si="13"/>
        <v>144.42502934259721</v>
      </c>
      <c r="J46" s="306">
        <f t="shared" ca="1" si="14"/>
        <v>120.71341990307992</v>
      </c>
      <c r="K46" s="307">
        <f t="shared" ca="1" si="15"/>
        <v>987.84337091456155</v>
      </c>
      <c r="L46" s="304">
        <f t="shared" ca="1" si="0"/>
        <v>995.19156708873959</v>
      </c>
      <c r="M46" s="306">
        <f t="shared" ca="1" si="16"/>
        <v>1.4012676395549177</v>
      </c>
      <c r="N46" s="304">
        <f t="shared" ca="1" si="17"/>
        <v>80.286721714755885</v>
      </c>
      <c r="P46" s="310">
        <f t="shared" ca="1" si="18"/>
        <v>3</v>
      </c>
      <c r="Q46" s="304">
        <f t="shared" ca="1" si="19"/>
        <v>177.6724137931042</v>
      </c>
      <c r="R46" s="306">
        <f t="shared" ca="1" si="20"/>
        <v>9.4299596200215358E-2</v>
      </c>
      <c r="S46" s="307">
        <f t="shared" ca="1" si="21"/>
        <v>4.117081303198443</v>
      </c>
      <c r="T46" s="304">
        <f t="shared" ca="1" si="1"/>
        <v>40.38856758437673</v>
      </c>
      <c r="U46" s="311">
        <f t="shared" ca="1" si="2"/>
        <v>0</v>
      </c>
      <c r="V46" s="306">
        <f t="shared" ca="1" si="3"/>
        <v>1.109684852275262</v>
      </c>
      <c r="W46" s="304">
        <f t="shared" ca="1" si="4"/>
        <v>33.802023391461972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987.84337091456155</v>
      </c>
      <c r="AG46" s="306">
        <f t="shared" ca="1" si="27"/>
        <v>25.302772354550733</v>
      </c>
      <c r="AH46" s="304">
        <f t="shared" ca="1" si="28"/>
        <v>34.97232955973351</v>
      </c>
    </row>
    <row r="47" spans="1:34" x14ac:dyDescent="0.2">
      <c r="A47" s="347">
        <f t="shared" ca="1" si="6"/>
        <v>0.01</v>
      </c>
      <c r="B47" s="304">
        <f t="shared" ca="1" si="7"/>
        <v>7.0299999999999905</v>
      </c>
      <c r="D47" s="306">
        <f t="shared" ca="1" si="8"/>
        <v>5.8618108562989404</v>
      </c>
      <c r="E47" s="307">
        <f t="shared" ca="1" si="9"/>
        <v>24.435218079333922</v>
      </c>
      <c r="F47" s="304">
        <f t="shared" ca="1" si="10"/>
        <v>25.128484019129196</v>
      </c>
      <c r="G47" s="306">
        <f t="shared" ca="1" si="11"/>
        <v>24.425693001930316</v>
      </c>
      <c r="H47" s="307">
        <f t="shared" ca="1" si="12"/>
        <v>142.59896138524127</v>
      </c>
      <c r="I47" s="304">
        <f t="shared" ca="1" si="13"/>
        <v>144.67576945284955</v>
      </c>
      <c r="J47" s="306">
        <f t="shared" ca="1" si="14"/>
        <v>120.95738374255642</v>
      </c>
      <c r="K47" s="307">
        <f t="shared" ca="1" si="15"/>
        <v>989.26813876750998</v>
      </c>
      <c r="L47" s="304">
        <f t="shared" ca="1" si="0"/>
        <v>996.63540929588555</v>
      </c>
      <c r="M47" s="306">
        <f t="shared" ca="1" si="16"/>
        <v>1.4011532374168243</v>
      </c>
      <c r="N47" s="304">
        <f t="shared" ca="1" si="17"/>
        <v>80.280166955075856</v>
      </c>
      <c r="P47" s="310">
        <f t="shared" ca="1" si="18"/>
        <v>3</v>
      </c>
      <c r="Q47" s="304">
        <f t="shared" ca="1" si="19"/>
        <v>176.81034482758699</v>
      </c>
      <c r="R47" s="306">
        <f t="shared" ca="1" si="20"/>
        <v>9.3842053278331755E-2</v>
      </c>
      <c r="S47" s="307">
        <f t="shared" ca="1" si="21"/>
        <v>4.1161428826656596</v>
      </c>
      <c r="T47" s="304">
        <f t="shared" ca="1" si="1"/>
        <v>40.379361678950126</v>
      </c>
      <c r="U47" s="311">
        <f t="shared" ca="1" si="2"/>
        <v>0</v>
      </c>
      <c r="V47" s="306">
        <f t="shared" ca="1" si="3"/>
        <v>1.1095263720508779</v>
      </c>
      <c r="W47" s="304">
        <f t="shared" ca="1" si="4"/>
        <v>33.914650217161416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989.26813876750998</v>
      </c>
      <c r="AG47" s="306">
        <f t="shared" ca="1" si="27"/>
        <v>25.073916350503051</v>
      </c>
      <c r="AH47" s="304">
        <f t="shared" ca="1" si="28"/>
        <v>34.743284067804574</v>
      </c>
    </row>
    <row r="48" spans="1:34" x14ac:dyDescent="0.2">
      <c r="A48" s="347">
        <f t="shared" ca="1" si="6"/>
        <v>0.01</v>
      </c>
      <c r="B48" s="304">
        <f t="shared" ca="1" si="7"/>
        <v>7.0399999999999903</v>
      </c>
      <c r="D48" s="306">
        <f t="shared" ca="1" si="8"/>
        <v>5.8270717552854627</v>
      </c>
      <c r="E48" s="307">
        <f t="shared" ca="1" si="9"/>
        <v>24.208866124097874</v>
      </c>
      <c r="F48" s="304">
        <f t="shared" ca="1" si="10"/>
        <v>24.900280405162896</v>
      </c>
      <c r="G48" s="306">
        <f t="shared" ca="1" si="11"/>
        <v>24.483963719483171</v>
      </c>
      <c r="H48" s="307">
        <f t="shared" ca="1" si="12"/>
        <v>142.84105004648225</v>
      </c>
      <c r="I48" s="304">
        <f t="shared" ca="1" si="13"/>
        <v>144.92422177744692</v>
      </c>
      <c r="J48" s="306">
        <f t="shared" ca="1" si="14"/>
        <v>121.20193202616349</v>
      </c>
      <c r="K48" s="307">
        <f t="shared" ca="1" si="15"/>
        <v>990.69533882466862</v>
      </c>
      <c r="L48" s="304">
        <f t="shared" ca="1" si="0"/>
        <v>998.08174149004435</v>
      </c>
      <c r="M48" s="306">
        <f t="shared" ca="1" si="16"/>
        <v>1.4010389550766633</v>
      </c>
      <c r="N48" s="304">
        <f t="shared" ca="1" si="17"/>
        <v>80.273619059311756</v>
      </c>
      <c r="P48" s="310">
        <f t="shared" ca="1" si="18"/>
        <v>3</v>
      </c>
      <c r="Q48" s="304">
        <f t="shared" ca="1" si="19"/>
        <v>175.94827586206975</v>
      </c>
      <c r="R48" s="306">
        <f t="shared" ca="1" si="20"/>
        <v>9.3384510356448125E-2</v>
      </c>
      <c r="S48" s="307">
        <f t="shared" ca="1" si="21"/>
        <v>4.1152090375620949</v>
      </c>
      <c r="T48" s="304">
        <f t="shared" ca="1" si="1"/>
        <v>40.370200658484151</v>
      </c>
      <c r="U48" s="311">
        <f t="shared" ca="1" si="2"/>
        <v>0</v>
      </c>
      <c r="V48" s="306">
        <f t="shared" ca="1" si="3"/>
        <v>1.1093676428559731</v>
      </c>
      <c r="W48" s="304">
        <f t="shared" ca="1" si="4"/>
        <v>34.026365267903095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990.69533882466862</v>
      </c>
      <c r="AG48" s="306">
        <f t="shared" ca="1" si="27"/>
        <v>24.845137820932692</v>
      </c>
      <c r="AH48" s="304">
        <f t="shared" ca="1" si="28"/>
        <v>34.514316125494069</v>
      </c>
    </row>
    <row r="49" spans="1:34" x14ac:dyDescent="0.2">
      <c r="A49" s="347">
        <f t="shared" ca="1" si="6"/>
        <v>0.01</v>
      </c>
      <c r="B49" s="304">
        <f t="shared" ca="1" si="7"/>
        <v>7.0499999999999901</v>
      </c>
      <c r="D49" s="306">
        <f t="shared" ca="1" si="8"/>
        <v>5.7922903312358027</v>
      </c>
      <c r="E49" s="307">
        <f t="shared" ca="1" si="9"/>
        <v>23.982601662345274</v>
      </c>
      <c r="F49" s="304">
        <f t="shared" ca="1" si="10"/>
        <v>24.672166702096799</v>
      </c>
      <c r="G49" s="306">
        <f t="shared" ca="1" si="11"/>
        <v>24.541886622795531</v>
      </c>
      <c r="H49" s="307">
        <f t="shared" ca="1" si="12"/>
        <v>143.08087606310571</v>
      </c>
      <c r="I49" s="304">
        <f t="shared" ca="1" si="13"/>
        <v>145.17038711111837</v>
      </c>
      <c r="J49" s="306">
        <f t="shared" ca="1" si="14"/>
        <v>121.44706127787488</v>
      </c>
      <c r="K49" s="307">
        <f t="shared" ca="1" si="15"/>
        <v>992.12494845521655</v>
      </c>
      <c r="L49" s="304">
        <f t="shared" ca="1" si="0"/>
        <v>999.5305408241901</v>
      </c>
      <c r="M49" s="306">
        <f t="shared" ca="1" si="16"/>
        <v>1.4009247904071633</v>
      </c>
      <c r="N49" s="304">
        <f t="shared" ca="1" si="17"/>
        <v>80.267077905579896</v>
      </c>
      <c r="P49" s="310">
        <f t="shared" ca="1" si="18"/>
        <v>3</v>
      </c>
      <c r="Q49" s="304">
        <f t="shared" ca="1" si="19"/>
        <v>175.08620689655254</v>
      </c>
      <c r="R49" s="306">
        <f t="shared" ca="1" si="20"/>
        <v>9.2926967434564522E-2</v>
      </c>
      <c r="S49" s="307">
        <f t="shared" ca="1" si="21"/>
        <v>4.1142797678877496</v>
      </c>
      <c r="T49" s="304">
        <f t="shared" ca="1" si="1"/>
        <v>40.361084522978828</v>
      </c>
      <c r="U49" s="311">
        <f t="shared" ca="1" si="2"/>
        <v>0</v>
      </c>
      <c r="V49" s="306">
        <f t="shared" ca="1" si="3"/>
        <v>1.1092086673129222</v>
      </c>
      <c r="W49" s="304">
        <f t="shared" ca="1" si="4"/>
        <v>34.137163769020823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992.12494845521655</v>
      </c>
      <c r="AG49" s="306">
        <f t="shared" ca="1" si="27"/>
        <v>24.616438762714665</v>
      </c>
      <c r="AH49" s="304">
        <f t="shared" ca="1" si="28"/>
        <v>34.285427726532284</v>
      </c>
    </row>
    <row r="50" spans="1:34" x14ac:dyDescent="0.2">
      <c r="A50" s="347">
        <f t="shared" ca="1" si="6"/>
        <v>0.01</v>
      </c>
      <c r="B50" s="304">
        <f t="shared" ca="1" si="7"/>
        <v>7.0599999999999898</v>
      </c>
      <c r="D50" s="306">
        <f t="shared" ca="1" si="8"/>
        <v>5.7574670996903743</v>
      </c>
      <c r="E50" s="307">
        <f t="shared" ca="1" si="9"/>
        <v>23.756426623576814</v>
      </c>
      <c r="F50" s="304">
        <f t="shared" ca="1" si="10"/>
        <v>24.444145174773578</v>
      </c>
      <c r="G50" s="306">
        <f t="shared" ca="1" si="11"/>
        <v>24.599461293792434</v>
      </c>
      <c r="H50" s="307">
        <f t="shared" ca="1" si="12"/>
        <v>143.31844032934148</v>
      </c>
      <c r="I50" s="304">
        <f t="shared" ca="1" si="13"/>
        <v>145.41426626840919</v>
      </c>
      <c r="J50" s="306">
        <f t="shared" ca="1" si="14"/>
        <v>121.69276801745782</v>
      </c>
      <c r="K50" s="307">
        <f t="shared" ca="1" si="15"/>
        <v>993.55694503717882</v>
      </c>
      <c r="L50" s="304">
        <f t="shared" ca="1" si="0"/>
        <v>1000.9817844593189</v>
      </c>
      <c r="M50" s="306">
        <f t="shared" ca="1" si="16"/>
        <v>1.4008107412966286</v>
      </c>
      <c r="N50" s="304">
        <f t="shared" ca="1" si="17"/>
        <v>80.260543372889032</v>
      </c>
      <c r="P50" s="310">
        <f t="shared" ca="1" si="18"/>
        <v>3</v>
      </c>
      <c r="Q50" s="304">
        <f t="shared" ca="1" si="19"/>
        <v>174.22413793103533</v>
      </c>
      <c r="R50" s="306">
        <f t="shared" ca="1" si="20"/>
        <v>9.246942451268092E-2</v>
      </c>
      <c r="S50" s="307">
        <f t="shared" ca="1" si="21"/>
        <v>4.113355073642623</v>
      </c>
      <c r="T50" s="304">
        <f t="shared" ca="1" si="1"/>
        <v>40.352013272434135</v>
      </c>
      <c r="U50" s="311">
        <f t="shared" ca="1" si="2"/>
        <v>0</v>
      </c>
      <c r="V50" s="306">
        <f t="shared" ca="1" si="3"/>
        <v>1.1090494480418893</v>
      </c>
      <c r="W50" s="304">
        <f t="shared" ca="1" si="4"/>
        <v>34.24704101370245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993.55694503717882</v>
      </c>
      <c r="AG50" s="306">
        <f t="shared" ca="1" si="27"/>
        <v>24.387821157460994</v>
      </c>
      <c r="AH50" s="304">
        <f t="shared" ca="1" si="28"/>
        <v>34.05662084940289</v>
      </c>
    </row>
    <row r="51" spans="1:34" x14ac:dyDescent="0.2">
      <c r="A51" s="347">
        <f t="shared" ca="1" si="6"/>
        <v>0.01</v>
      </c>
      <c r="B51" s="304">
        <f t="shared" ca="1" si="7"/>
        <v>7.0699999999999896</v>
      </c>
      <c r="D51" s="306">
        <f t="shared" ca="1" si="8"/>
        <v>5.7226025719921978</v>
      </c>
      <c r="E51" s="307">
        <f t="shared" ca="1" si="9"/>
        <v>23.530342922451005</v>
      </c>
      <c r="F51" s="304">
        <f t="shared" ca="1" si="10"/>
        <v>24.21621808303501</v>
      </c>
      <c r="G51" s="306">
        <f t="shared" ca="1" si="11"/>
        <v>24.656687319512354</v>
      </c>
      <c r="H51" s="307">
        <f t="shared" ca="1" si="12"/>
        <v>143.55374375856599</v>
      </c>
      <c r="I51" s="304">
        <f t="shared" ca="1" si="13"/>
        <v>145.65586008352778</v>
      </c>
      <c r="J51" s="306">
        <f t="shared" ca="1" si="14"/>
        <v>121.93904876052434</v>
      </c>
      <c r="K51" s="307">
        <f t="shared" ca="1" si="15"/>
        <v>994.99130595761835</v>
      </c>
      <c r="L51" s="304">
        <f t="shared" ca="1" si="0"/>
        <v>1002.4354495646432</v>
      </c>
      <c r="M51" s="306">
        <f t="shared" ca="1" si="16"/>
        <v>1.4006968056486597</v>
      </c>
      <c r="N51" s="304">
        <f t="shared" ca="1" si="17"/>
        <v>80.25401534112433</v>
      </c>
      <c r="P51" s="310">
        <f t="shared" ca="1" si="18"/>
        <v>3</v>
      </c>
      <c r="Q51" s="304">
        <f t="shared" ca="1" si="19"/>
        <v>173.36206896551809</v>
      </c>
      <c r="R51" s="306">
        <f t="shared" ca="1" si="20"/>
        <v>9.201188159079729E-2</v>
      </c>
      <c r="S51" s="307">
        <f t="shared" ca="1" si="21"/>
        <v>4.112434954826715</v>
      </c>
      <c r="T51" s="304">
        <f t="shared" ca="1" si="1"/>
        <v>40.342986906850072</v>
      </c>
      <c r="U51" s="311">
        <f t="shared" ca="1" si="2"/>
        <v>0</v>
      </c>
      <c r="V51" s="306">
        <f t="shared" ca="1" si="3"/>
        <v>1.1088899876607987</v>
      </c>
      <c r="W51" s="304">
        <f t="shared" ca="1" si="4"/>
        <v>34.355992362879775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994.99130595761835</v>
      </c>
      <c r="AG51" s="306">
        <f t="shared" ca="1" si="27"/>
        <v>24.159286971507605</v>
      </c>
      <c r="AH51" s="304">
        <f t="shared" ca="1" si="28"/>
        <v>33.827897457329513</v>
      </c>
    </row>
    <row r="52" spans="1:34" x14ac:dyDescent="0.2">
      <c r="A52" s="347">
        <f t="shared" ca="1" si="6"/>
        <v>0.01</v>
      </c>
      <c r="B52" s="304">
        <f t="shared" ca="1" si="7"/>
        <v>7.0799999999999894</v>
      </c>
      <c r="D52" s="306">
        <f t="shared" ca="1" si="8"/>
        <v>5.6876972553027292</v>
      </c>
      <c r="E52" s="307">
        <f t="shared" ca="1" si="9"/>
        <v>23.304352458770389</v>
      </c>
      <c r="F52" s="304">
        <f t="shared" ca="1" si="10"/>
        <v>23.988387682180218</v>
      </c>
      <c r="G52" s="306">
        <f t="shared" ca="1" si="11"/>
        <v>24.713564292065382</v>
      </c>
      <c r="H52" s="307">
        <f t="shared" ca="1" si="12"/>
        <v>143.7867872831537</v>
      </c>
      <c r="I52" s="304">
        <f t="shared" ca="1" si="13"/>
        <v>145.89516941019309</v>
      </c>
      <c r="J52" s="306">
        <f t="shared" ca="1" si="14"/>
        <v>122.18590001858223</v>
      </c>
      <c r="K52" s="307">
        <f t="shared" ca="1" si="15"/>
        <v>996.42800861282694</v>
      </c>
      <c r="L52" s="304">
        <f t="shared" ca="1" si="0"/>
        <v>1003.8915133177861</v>
      </c>
      <c r="M52" s="306">
        <f t="shared" ca="1" si="16"/>
        <v>1.4005829813818769</v>
      </c>
      <c r="N52" s="304">
        <f t="shared" ca="1" si="17"/>
        <v>80.247493691031508</v>
      </c>
      <c r="P52" s="310">
        <f t="shared" ca="1" si="18"/>
        <v>3</v>
      </c>
      <c r="Q52" s="304">
        <f t="shared" ca="1" si="19"/>
        <v>172.50000000000085</v>
      </c>
      <c r="R52" s="306">
        <f t="shared" ca="1" si="20"/>
        <v>9.1554338668913673E-2</v>
      </c>
      <c r="S52" s="307">
        <f t="shared" ca="1" si="21"/>
        <v>4.1115194114400255</v>
      </c>
      <c r="T52" s="304">
        <f t="shared" ca="1" si="1"/>
        <v>40.334005426226653</v>
      </c>
      <c r="U52" s="311">
        <f t="shared" ca="1" si="2"/>
        <v>0</v>
      </c>
      <c r="V52" s="306">
        <f t="shared" ca="1" si="3"/>
        <v>1.1087302887853108</v>
      </c>
      <c r="W52" s="304">
        <f t="shared" ca="1" si="4"/>
        <v>34.464013245115623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996.42800861282694</v>
      </c>
      <c r="AG52" s="306">
        <f t="shared" ca="1" si="27"/>
        <v>23.930838155902482</v>
      </c>
      <c r="AH52" s="304">
        <f t="shared" ca="1" si="28"/>
        <v>33.599259498263514</v>
      </c>
    </row>
    <row r="53" spans="1:34" x14ac:dyDescent="0.2">
      <c r="A53" s="347">
        <f t="shared" ca="1" si="6"/>
        <v>0.01</v>
      </c>
      <c r="B53" s="304">
        <f t="shared" ca="1" si="7"/>
        <v>7.0899999999999892</v>
      </c>
      <c r="D53" s="306">
        <f t="shared" ca="1" si="8"/>
        <v>5.6527516526174288</v>
      </c>
      <c r="E53" s="307">
        <f t="shared" ca="1" si="9"/>
        <v>23.078457117468702</v>
      </c>
      <c r="F53" s="304">
        <f t="shared" ca="1" si="10"/>
        <v>23.760656223450791</v>
      </c>
      <c r="G53" s="306">
        <f t="shared" ca="1" si="11"/>
        <v>24.770091808591555</v>
      </c>
      <c r="H53" s="307">
        <f t="shared" ca="1" si="12"/>
        <v>144.01757185432839</v>
      </c>
      <c r="I53" s="304">
        <f t="shared" ca="1" si="13"/>
        <v>146.13219512148135</v>
      </c>
      <c r="J53" s="306">
        <f t="shared" ca="1" si="14"/>
        <v>122.43331829908551</v>
      </c>
      <c r="K53" s="307">
        <f t="shared" ca="1" si="15"/>
        <v>997.86703040851432</v>
      </c>
      <c r="L53" s="304">
        <f t="shared" ca="1" si="0"/>
        <v>1005.3499529049733</v>
      </c>
      <c r="M53" s="306">
        <f t="shared" ca="1" si="16"/>
        <v>1.4004692664296479</v>
      </c>
      <c r="N53" s="304">
        <f t="shared" ca="1" si="17"/>
        <v>80.240978304201249</v>
      </c>
      <c r="P53" s="310">
        <f t="shared" ca="1" si="18"/>
        <v>3</v>
      </c>
      <c r="Q53" s="304">
        <f t="shared" ca="1" si="19"/>
        <v>171.63793103448364</v>
      </c>
      <c r="R53" s="306">
        <f t="shared" ca="1" si="20"/>
        <v>9.1096795747030057E-2</v>
      </c>
      <c r="S53" s="307">
        <f t="shared" ca="1" si="21"/>
        <v>4.1106084434825556</v>
      </c>
      <c r="T53" s="304">
        <f t="shared" ca="1" si="1"/>
        <v>40.325068830563872</v>
      </c>
      <c r="U53" s="311">
        <f t="shared" ca="1" si="2"/>
        <v>0</v>
      </c>
      <c r="V53" s="306">
        <f t="shared" ca="1" si="3"/>
        <v>1.108570354028797</v>
      </c>
      <c r="W53" s="304">
        <f t="shared" ca="1" si="4"/>
        <v>34.571099156487328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997.86703040851432</v>
      </c>
      <c r="AG53" s="306">
        <f t="shared" ca="1" si="27"/>
        <v>23.702476646394672</v>
      </c>
      <c r="AH53" s="304">
        <f t="shared" ca="1" si="28"/>
        <v>33.37070890487265</v>
      </c>
    </row>
    <row r="54" spans="1:34" x14ac:dyDescent="0.2">
      <c r="A54" s="347">
        <f t="shared" ca="1" si="6"/>
        <v>0.01</v>
      </c>
      <c r="B54" s="304">
        <f t="shared" ca="1" si="7"/>
        <v>7.099999999999989</v>
      </c>
      <c r="D54" s="306">
        <f t="shared" ca="1" si="8"/>
        <v>5.6177662627811058</v>
      </c>
      <c r="E54" s="307">
        <f t="shared" ca="1" si="9"/>
        <v>22.852658768599184</v>
      </c>
      <c r="F54" s="304">
        <f t="shared" ca="1" si="10"/>
        <v>23.533025954544708</v>
      </c>
      <c r="G54" s="306">
        <f t="shared" ca="1" si="11"/>
        <v>24.826269471219366</v>
      </c>
      <c r="H54" s="307">
        <f t="shared" ca="1" si="12"/>
        <v>144.24609844201439</v>
      </c>
      <c r="I54" s="304">
        <f t="shared" ca="1" si="13"/>
        <v>146.36693810967321</v>
      </c>
      <c r="J54" s="306">
        <f t="shared" ca="1" si="14"/>
        <v>122.68130010548457</v>
      </c>
      <c r="K54" s="307">
        <f t="shared" ca="1" si="15"/>
        <v>999.30834875999608</v>
      </c>
      <c r="L54" s="304">
        <f t="shared" ca="1" si="0"/>
        <v>1006.8107455212236</v>
      </c>
      <c r="M54" s="306">
        <f t="shared" ca="1" si="16"/>
        <v>1.4003556587398218</v>
      </c>
      <c r="N54" s="304">
        <f t="shared" ca="1" si="17"/>
        <v>80.234469063053979</v>
      </c>
      <c r="P54" s="310">
        <f t="shared" ca="1" si="18"/>
        <v>3</v>
      </c>
      <c r="Q54" s="304">
        <f t="shared" ca="1" si="19"/>
        <v>170.77586206896643</v>
      </c>
      <c r="R54" s="306">
        <f t="shared" ca="1" si="20"/>
        <v>9.0639252825146455E-2</v>
      </c>
      <c r="S54" s="307">
        <f t="shared" ca="1" si="21"/>
        <v>4.1097020509543043</v>
      </c>
      <c r="T54" s="304">
        <f t="shared" ca="1" si="1"/>
        <v>40.316177119861727</v>
      </c>
      <c r="U54" s="311">
        <f t="shared" ca="1" si="2"/>
        <v>0</v>
      </c>
      <c r="V54" s="306">
        <f t="shared" ca="1" si="3"/>
        <v>1.1084101860023139</v>
      </c>
      <c r="W54" s="304">
        <f t="shared" ca="1" si="4"/>
        <v>34.677245660467143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999.30834875999608</v>
      </c>
      <c r="AG54" s="306">
        <f t="shared" ca="1" si="27"/>
        <v>23.474204363424501</v>
      </c>
      <c r="AH54" s="304">
        <f t="shared" ca="1" si="28"/>
        <v>33.142247594530929</v>
      </c>
    </row>
    <row r="55" spans="1:34" x14ac:dyDescent="0.2">
      <c r="A55" s="347">
        <f t="shared" ca="1" si="6"/>
        <v>0.01</v>
      </c>
      <c r="B55" s="304">
        <f t="shared" ca="1" si="7"/>
        <v>7.1099999999999888</v>
      </c>
      <c r="D55" s="306">
        <f t="shared" ca="1" si="8"/>
        <v>5.5827415805029199</v>
      </c>
      <c r="E55" s="307">
        <f t="shared" ca="1" si="9"/>
        <v>22.626959267323961</v>
      </c>
      <c r="F55" s="304">
        <f t="shared" ca="1" si="10"/>
        <v>23.305499120160761</v>
      </c>
      <c r="G55" s="306">
        <f t="shared" ca="1" si="11"/>
        <v>24.882096887024396</v>
      </c>
      <c r="H55" s="307">
        <f t="shared" ca="1" si="12"/>
        <v>144.47236803468763</v>
      </c>
      <c r="I55" s="304">
        <f t="shared" ca="1" si="13"/>
        <v>146.59939928610044</v>
      </c>
      <c r="J55" s="306">
        <f t="shared" ca="1" si="14"/>
        <v>122.92984193727578</v>
      </c>
      <c r="K55" s="307">
        <f t="shared" ca="1" si="15"/>
        <v>1000.7519410923796</v>
      </c>
      <c r="L55" s="304">
        <f t="shared" ca="1" si="0"/>
        <v>1008.2738683705381</v>
      </c>
      <c r="M55" s="306">
        <f t="shared" ca="1" si="16"/>
        <v>1.4002421562744656</v>
      </c>
      <c r="N55" s="304">
        <f t="shared" ca="1" si="17"/>
        <v>80.227965850824745</v>
      </c>
      <c r="P55" s="310">
        <f t="shared" ca="1" si="18"/>
        <v>3</v>
      </c>
      <c r="Q55" s="304">
        <f t="shared" ca="1" si="19"/>
        <v>169.91379310344919</v>
      </c>
      <c r="R55" s="306">
        <f t="shared" ca="1" si="20"/>
        <v>9.0181709903262838E-2</v>
      </c>
      <c r="S55" s="307">
        <f t="shared" ca="1" si="21"/>
        <v>4.1088002338552716</v>
      </c>
      <c r="T55" s="304">
        <f t="shared" ca="1" si="1"/>
        <v>40.307330294120213</v>
      </c>
      <c r="U55" s="311">
        <f t="shared" ca="1" si="2"/>
        <v>0</v>
      </c>
      <c r="V55" s="306">
        <f t="shared" ca="1" si="3"/>
        <v>1.108249787314578</v>
      </c>
      <c r="W55" s="304">
        <f t="shared" ca="1" si="4"/>
        <v>34.782448387799299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1000.7519410923796</v>
      </c>
      <c r="AG55" s="306">
        <f t="shared" ca="1" si="27"/>
        <v>23.246023212114629</v>
      </c>
      <c r="AH55" s="304">
        <f t="shared" ca="1" si="28"/>
        <v>32.913877469309355</v>
      </c>
    </row>
    <row r="56" spans="1:34" x14ac:dyDescent="0.2">
      <c r="A56" s="347">
        <f t="shared" ca="1" si="6"/>
        <v>0.01</v>
      </c>
      <c r="B56" s="304">
        <f t="shared" ca="1" si="7"/>
        <v>7.1199999999999886</v>
      </c>
      <c r="D56" s="306">
        <f t="shared" ca="1" si="8"/>
        <v>5.547678096371218</v>
      </c>
      <c r="E56" s="307">
        <f t="shared" ca="1" si="9"/>
        <v>22.401360453904502</v>
      </c>
      <c r="F56" s="304">
        <f t="shared" ca="1" si="10"/>
        <v>23.078077962575513</v>
      </c>
      <c r="G56" s="306">
        <f t="shared" ca="1" si="11"/>
        <v>24.937573667988108</v>
      </c>
      <c r="H56" s="307">
        <f t="shared" ca="1" si="12"/>
        <v>144.69638163922667</v>
      </c>
      <c r="I56" s="304">
        <f t="shared" ca="1" si="13"/>
        <v>146.82957958099269</v>
      </c>
      <c r="J56" s="306">
        <f t="shared" ca="1" si="14"/>
        <v>123.17894029005085</v>
      </c>
      <c r="K56" s="307">
        <f t="shared" ca="1" si="15"/>
        <v>1002.1977848407493</v>
      </c>
      <c r="L56" s="304">
        <f t="shared" ca="1" si="0"/>
        <v>1009.7392986660886</v>
      </c>
      <c r="M56" s="306">
        <f t="shared" ca="1" si="16"/>
        <v>1.4001287570096039</v>
      </c>
      <c r="N56" s="304">
        <f t="shared" ca="1" si="17"/>
        <v>80.221468551548284</v>
      </c>
      <c r="P56" s="310">
        <f t="shared" ca="1" si="18"/>
        <v>3</v>
      </c>
      <c r="Q56" s="304">
        <f t="shared" ca="1" si="19"/>
        <v>169.05172413793198</v>
      </c>
      <c r="R56" s="306">
        <f t="shared" ca="1" si="20"/>
        <v>8.9724166981379222E-2</v>
      </c>
      <c r="S56" s="307">
        <f t="shared" ca="1" si="21"/>
        <v>4.1079029921854575</v>
      </c>
      <c r="T56" s="304">
        <f t="shared" ca="1" si="1"/>
        <v>40.298528353339343</v>
      </c>
      <c r="U56" s="311">
        <f t="shared" ca="1" si="2"/>
        <v>0</v>
      </c>
      <c r="V56" s="306">
        <f t="shared" ca="1" si="3"/>
        <v>1.1080891605719421</v>
      </c>
      <c r="W56" s="304">
        <f t="shared" ca="1" si="4"/>
        <v>34.886703036374058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1002.1977848407493</v>
      </c>
      <c r="AG56" s="306">
        <f t="shared" ca="1" si="27"/>
        <v>23.017935082262369</v>
      </c>
      <c r="AH56" s="304">
        <f t="shared" ca="1" si="28"/>
        <v>32.685600415967883</v>
      </c>
    </row>
    <row r="57" spans="1:34" x14ac:dyDescent="0.2">
      <c r="A57" s="347">
        <f t="shared" ca="1" si="6"/>
        <v>0.01</v>
      </c>
      <c r="B57" s="304">
        <f t="shared" ca="1" si="7"/>
        <v>7.1299999999999883</v>
      </c>
      <c r="D57" s="306">
        <f t="shared" ca="1" si="8"/>
        <v>5.5125762968680876</v>
      </c>
      <c r="E57" s="307">
        <f t="shared" ca="1" si="9"/>
        <v>22.175864153693006</v>
      </c>
      <c r="F57" s="304">
        <f t="shared" ca="1" si="10"/>
        <v>22.850764722254663</v>
      </c>
      <c r="G57" s="306">
        <f t="shared" ca="1" si="11"/>
        <v>24.99269943095679</v>
      </c>
      <c r="H57" s="307">
        <f t="shared" ca="1" si="12"/>
        <v>144.91814028076359</v>
      </c>
      <c r="I57" s="304">
        <f t="shared" ca="1" si="13"/>
        <v>147.0574799433243</v>
      </c>
      <c r="J57" s="306">
        <f t="shared" ca="1" si="14"/>
        <v>123.42859165554557</v>
      </c>
      <c r="K57" s="307">
        <f t="shared" ca="1" si="15"/>
        <v>1003.6458574503492</v>
      </c>
      <c r="L57" s="304">
        <f t="shared" ca="1" si="0"/>
        <v>1011.207013630403</v>
      </c>
      <c r="M57" s="306">
        <f t="shared" ca="1" si="16"/>
        <v>1.4000154589349658</v>
      </c>
      <c r="N57" s="304">
        <f t="shared" ca="1" si="17"/>
        <v>80.214977050044567</v>
      </c>
      <c r="P57" s="310">
        <f t="shared" ca="1" si="18"/>
        <v>3</v>
      </c>
      <c r="Q57" s="304">
        <f t="shared" ca="1" si="19"/>
        <v>168.18965517241475</v>
      </c>
      <c r="R57" s="306">
        <f t="shared" ca="1" si="20"/>
        <v>8.9266624059495606E-2</v>
      </c>
      <c r="S57" s="307">
        <f t="shared" ca="1" si="21"/>
        <v>4.1070103259448629</v>
      </c>
      <c r="T57" s="304">
        <f t="shared" ca="1" si="1"/>
        <v>40.28977129751911</v>
      </c>
      <c r="U57" s="311">
        <f t="shared" ca="1" si="2"/>
        <v>0</v>
      </c>
      <c r="V57" s="306">
        <f t="shared" ca="1" si="3"/>
        <v>1.1079283083783702</v>
      </c>
      <c r="W57" s="304">
        <f t="shared" ca="1" si="4"/>
        <v>34.99000537109854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1003.6458574503492</v>
      </c>
      <c r="AG57" s="306">
        <f t="shared" ca="1" si="27"/>
        <v>22.789941848332703</v>
      </c>
      <c r="AH57" s="304">
        <f t="shared" ca="1" si="28"/>
        <v>32.457418305948103</v>
      </c>
    </row>
    <row r="58" spans="1:34" x14ac:dyDescent="0.2">
      <c r="A58" s="347">
        <f t="shared" ca="1" si="6"/>
        <v>0.01</v>
      </c>
      <c r="B58" s="304">
        <f t="shared" ca="1" si="7"/>
        <v>7.1399999999999881</v>
      </c>
      <c r="D58" s="306">
        <f t="shared" ca="1" si="8"/>
        <v>5.4774366643836876</v>
      </c>
      <c r="E58" s="307">
        <f t="shared" ca="1" si="9"/>
        <v>21.950472177125079</v>
      </c>
      <c r="F58" s="304">
        <f t="shared" ca="1" si="10"/>
        <v>22.623561638501503</v>
      </c>
      <c r="G58" s="306">
        <f t="shared" ca="1" si="11"/>
        <v>25.047473797600627</v>
      </c>
      <c r="H58" s="307">
        <f t="shared" ca="1" si="12"/>
        <v>145.13764500253484</v>
      </c>
      <c r="I58" s="304">
        <f t="shared" ca="1" si="13"/>
        <v>147.28310134066066</v>
      </c>
      <c r="J58" s="306">
        <f t="shared" ca="1" si="14"/>
        <v>123.67879252168837</v>
      </c>
      <c r="K58" s="307">
        <f t="shared" ca="1" si="15"/>
        <v>1005.0961363767657</v>
      </c>
      <c r="L58" s="304">
        <f t="shared" ca="1" si="0"/>
        <v>1012.6769904955503</v>
      </c>
      <c r="M58" s="306">
        <f t="shared" ca="1" si="16"/>
        <v>1.3999022600537321</v>
      </c>
      <c r="N58" s="304">
        <f t="shared" ca="1" si="17"/>
        <v>80.208491231904262</v>
      </c>
      <c r="P58" s="310">
        <f t="shared" ca="1" si="18"/>
        <v>3</v>
      </c>
      <c r="Q58" s="304">
        <f t="shared" ca="1" si="19"/>
        <v>167.32758620689754</v>
      </c>
      <c r="R58" s="306">
        <f t="shared" ca="1" si="20"/>
        <v>8.8809081137611989E-2</v>
      </c>
      <c r="S58" s="307">
        <f t="shared" ca="1" si="21"/>
        <v>4.106122235133487</v>
      </c>
      <c r="T58" s="304">
        <f t="shared" ca="1" si="1"/>
        <v>40.281059126659507</v>
      </c>
      <c r="U58" s="311">
        <f t="shared" ca="1" si="2"/>
        <v>0</v>
      </c>
      <c r="V58" s="306">
        <f t="shared" ca="1" si="3"/>
        <v>1.1077672333354127</v>
      </c>
      <c r="W58" s="304">
        <f t="shared" ca="1" si="4"/>
        <v>35.092351223764346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1005.0961363767657</v>
      </c>
      <c r="AG58" s="306">
        <f t="shared" ca="1" si="27"/>
        <v>22.56204536945264</v>
      </c>
      <c r="AH58" s="304">
        <f t="shared" ca="1" si="28"/>
        <v>32.229332995367294</v>
      </c>
    </row>
    <row r="59" spans="1:34" x14ac:dyDescent="0.2">
      <c r="A59" s="347">
        <f t="shared" ca="1" si="6"/>
        <v>0.01</v>
      </c>
      <c r="B59" s="304">
        <f t="shared" ca="1" si="7"/>
        <v>7.1499999999999879</v>
      </c>
      <c r="D59" s="306">
        <f t="shared" ca="1" si="8"/>
        <v>5.4422596772303606</v>
      </c>
      <c r="E59" s="307">
        <f t="shared" ca="1" si="9"/>
        <v>21.725186319713195</v>
      </c>
      <c r="F59" s="304">
        <f t="shared" ca="1" si="10"/>
        <v>22.396470950144376</v>
      </c>
      <c r="G59" s="306">
        <f t="shared" ca="1" si="11"/>
        <v>25.101896394372933</v>
      </c>
      <c r="H59" s="307">
        <f t="shared" ca="1" si="12"/>
        <v>145.35489686573197</v>
      </c>
      <c r="I59" s="304">
        <f t="shared" ca="1" si="13"/>
        <v>147.50644475900506</v>
      </c>
      <c r="J59" s="306">
        <f t="shared" ca="1" si="14"/>
        <v>123.92953937264824</v>
      </c>
      <c r="K59" s="307">
        <f t="shared" ca="1" si="15"/>
        <v>1006.5485990861071</v>
      </c>
      <c r="L59" s="304">
        <f t="shared" ca="1" si="0"/>
        <v>1014.1492065033239</v>
      </c>
      <c r="M59" s="306">
        <f t="shared" ca="1" si="16"/>
        <v>1.3997891583822883</v>
      </c>
      <c r="N59" s="304">
        <f t="shared" ca="1" si="17"/>
        <v>80.202010983474665</v>
      </c>
      <c r="P59" s="310">
        <f t="shared" ca="1" si="18"/>
        <v>3</v>
      </c>
      <c r="Q59" s="304">
        <f t="shared" ca="1" si="19"/>
        <v>166.46551724138033</v>
      </c>
      <c r="R59" s="306">
        <f t="shared" ca="1" si="20"/>
        <v>8.8351538215728387E-2</v>
      </c>
      <c r="S59" s="307">
        <f t="shared" ca="1" si="21"/>
        <v>4.1052387197513296</v>
      </c>
      <c r="T59" s="304">
        <f t="shared" ca="1" si="1"/>
        <v>40.272391840760548</v>
      </c>
      <c r="U59" s="311">
        <f t="shared" ca="1" si="2"/>
        <v>0</v>
      </c>
      <c r="V59" s="306">
        <f t="shared" ca="1" si="3"/>
        <v>1.1076059380421857</v>
      </c>
      <c r="W59" s="304">
        <f t="shared" ca="1" si="4"/>
        <v>35.193736492912471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1006.5485990861071</v>
      </c>
      <c r="AG59" s="306">
        <f t="shared" ca="1" si="27"/>
        <v>22.334247489406312</v>
      </c>
      <c r="AH59" s="304">
        <f t="shared" ca="1" si="28"/>
        <v>32.001346325013166</v>
      </c>
    </row>
    <row r="60" spans="1:34" x14ac:dyDescent="0.2">
      <c r="A60" s="347">
        <f t="shared" ca="1" si="6"/>
        <v>0.01</v>
      </c>
      <c r="B60" s="304">
        <f t="shared" ca="1" si="7"/>
        <v>7.1599999999999877</v>
      </c>
      <c r="D60" s="306">
        <f t="shared" ca="1" si="8"/>
        <v>5.4070458096565144</v>
      </c>
      <c r="E60" s="307">
        <f t="shared" ca="1" si="9"/>
        <v>21.500008362041299</v>
      </c>
      <c r="F60" s="304">
        <f t="shared" ca="1" si="10"/>
        <v>22.169494896266126</v>
      </c>
      <c r="G60" s="306">
        <f t="shared" ca="1" si="11"/>
        <v>25.155966852469497</v>
      </c>
      <c r="H60" s="307">
        <f t="shared" ca="1" si="12"/>
        <v>145.5698969493524</v>
      </c>
      <c r="I60" s="304">
        <f t="shared" ca="1" si="13"/>
        <v>147.72751120264505</v>
      </c>
      <c r="J60" s="306">
        <f t="shared" ca="1" si="14"/>
        <v>124.18082868888244</v>
      </c>
      <c r="K60" s="307">
        <f t="shared" ca="1" si="15"/>
        <v>1008.0032230551825</v>
      </c>
      <c r="L60" s="304">
        <f t="shared" ca="1" si="0"/>
        <v>1015.6236389054233</v>
      </c>
      <c r="M60" s="306">
        <f t="shared" ca="1" si="16"/>
        <v>1.3996761519499816</v>
      </c>
      <c r="N60" s="304">
        <f t="shared" ca="1" si="17"/>
        <v>80.195536191845662</v>
      </c>
      <c r="P60" s="310">
        <f t="shared" ca="1" si="18"/>
        <v>3</v>
      </c>
      <c r="Q60" s="304">
        <f t="shared" ca="1" si="19"/>
        <v>165.60344827586309</v>
      </c>
      <c r="R60" s="306">
        <f t="shared" ca="1" si="20"/>
        <v>8.7893995293844757E-2</v>
      </c>
      <c r="S60" s="307">
        <f t="shared" ca="1" si="21"/>
        <v>4.1043597797983908</v>
      </c>
      <c r="T60" s="304">
        <f t="shared" ca="1" si="1"/>
        <v>40.263769439822219</v>
      </c>
      <c r="U60" s="311">
        <f t="shared" ca="1" si="2"/>
        <v>0</v>
      </c>
      <c r="V60" s="306">
        <f t="shared" ca="1" si="3"/>
        <v>1.1074444250953401</v>
      </c>
      <c r="W60" s="304">
        <f t="shared" ca="1" si="4"/>
        <v>35.294157143694711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1008.0032230551825</v>
      </c>
      <c r="AG60" s="306">
        <f t="shared" ca="1" si="27"/>
        <v>22.106550036631155</v>
      </c>
      <c r="AH60" s="304">
        <f t="shared" ca="1" si="28"/>
        <v>31.773460120339749</v>
      </c>
    </row>
    <row r="61" spans="1:34" x14ac:dyDescent="0.2">
      <c r="A61" s="347">
        <f t="shared" ca="1" si="6"/>
        <v>0.01</v>
      </c>
      <c r="B61" s="304">
        <f t="shared" ca="1" si="7"/>
        <v>7.1699999999999875</v>
      </c>
      <c r="D61" s="306">
        <f t="shared" ca="1" si="8"/>
        <v>5.3717955318603057</v>
      </c>
      <c r="E61" s="307">
        <f t="shared" ca="1" si="9"/>
        <v>21.274940069760511</v>
      </c>
      <c r="F61" s="304">
        <f t="shared" ca="1" si="10"/>
        <v>21.942635716978391</v>
      </c>
      <c r="G61" s="306">
        <f t="shared" ca="1" si="11"/>
        <v>25.209684807788101</v>
      </c>
      <c r="H61" s="307">
        <f t="shared" ca="1" si="12"/>
        <v>145.78264635005002</v>
      </c>
      <c r="I61" s="304">
        <f t="shared" ca="1" si="13"/>
        <v>147.946301693999</v>
      </c>
      <c r="J61" s="306">
        <f t="shared" ca="1" si="14"/>
        <v>124.43265694718373</v>
      </c>
      <c r="K61" s="307">
        <f t="shared" ca="1" si="15"/>
        <v>1009.4599857716795</v>
      </c>
      <c r="L61" s="304">
        <f t="shared" ca="1" si="0"/>
        <v>1017.1002649636341</v>
      </c>
      <c r="M61" s="306">
        <f t="shared" ca="1" si="16"/>
        <v>1.3995632387988799</v>
      </c>
      <c r="N61" s="304">
        <f t="shared" ca="1" si="17"/>
        <v>80.189066744836012</v>
      </c>
      <c r="P61" s="310">
        <f t="shared" ca="1" si="18"/>
        <v>3</v>
      </c>
      <c r="Q61" s="304">
        <f t="shared" ca="1" si="19"/>
        <v>164.74137931034588</v>
      </c>
      <c r="R61" s="306">
        <f t="shared" ca="1" si="20"/>
        <v>8.7436452371961154E-2</v>
      </c>
      <c r="S61" s="307">
        <f t="shared" ca="1" si="21"/>
        <v>4.1034854152746716</v>
      </c>
      <c r="T61" s="304">
        <f t="shared" ca="1" si="1"/>
        <v>40.255191923844528</v>
      </c>
      <c r="U61" s="311">
        <f t="shared" ca="1" si="2"/>
        <v>0</v>
      </c>
      <c r="V61" s="306">
        <f t="shared" ca="1" si="3"/>
        <v>1.1072826970890479</v>
      </c>
      <c r="W61" s="304">
        <f t="shared" ca="1" si="4"/>
        <v>35.393609207732673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1009.4599857716795</v>
      </c>
      <c r="AG61" s="306">
        <f t="shared" ca="1" si="27"/>
        <v>21.878954824215139</v>
      </c>
      <c r="AH61" s="304">
        <f t="shared" ca="1" si="28"/>
        <v>31.545676191464288</v>
      </c>
    </row>
    <row r="62" spans="1:34" x14ac:dyDescent="0.2">
      <c r="A62" s="347">
        <f t="shared" ca="1" si="6"/>
        <v>0.01</v>
      </c>
      <c r="B62" s="304">
        <f t="shared" ca="1" si="7"/>
        <v>7.1799999999999873</v>
      </c>
      <c r="D62" s="306">
        <f t="shared" ca="1" si="8"/>
        <v>5.3365093100031018</v>
      </c>
      <c r="E62" s="307">
        <f t="shared" ca="1" si="9"/>
        <v>21.049983193585597</v>
      </c>
      <c r="F62" s="304">
        <f t="shared" ca="1" si="10"/>
        <v>21.715895654243365</v>
      </c>
      <c r="G62" s="306">
        <f t="shared" ca="1" si="11"/>
        <v>25.263049900888131</v>
      </c>
      <c r="H62" s="307">
        <f t="shared" ca="1" si="12"/>
        <v>145.99314618198588</v>
      </c>
      <c r="I62" s="304">
        <f t="shared" ca="1" si="13"/>
        <v>148.16281727346257</v>
      </c>
      <c r="J62" s="306">
        <f t="shared" ca="1" si="14"/>
        <v>124.68502062072712</v>
      </c>
      <c r="K62" s="307">
        <f t="shared" ca="1" si="15"/>
        <v>1010.9188647343396</v>
      </c>
      <c r="L62" s="304">
        <f t="shared" ca="1" si="0"/>
        <v>1018.5790619500075</v>
      </c>
      <c r="M62" s="306">
        <f t="shared" ca="1" si="16"/>
        <v>1.399450416983536</v>
      </c>
      <c r="N62" s="304">
        <f t="shared" ca="1" si="17"/>
        <v>80.182602530979793</v>
      </c>
      <c r="P62" s="310">
        <f t="shared" ca="1" si="18"/>
        <v>3</v>
      </c>
      <c r="Q62" s="304">
        <f t="shared" ca="1" si="19"/>
        <v>163.87931034482864</v>
      </c>
      <c r="R62" s="306">
        <f t="shared" ca="1" si="20"/>
        <v>8.6978909450077538E-2</v>
      </c>
      <c r="S62" s="307">
        <f t="shared" ca="1" si="21"/>
        <v>4.1026156261801709</v>
      </c>
      <c r="T62" s="304">
        <f t="shared" ca="1" si="1"/>
        <v>40.246659292827481</v>
      </c>
      <c r="U62" s="311">
        <f t="shared" ca="1" si="2"/>
        <v>0</v>
      </c>
      <c r="V62" s="306">
        <f t="shared" ca="1" si="3"/>
        <v>1.1071207566149703</v>
      </c>
      <c r="W62" s="304">
        <f t="shared" ca="1" si="4"/>
        <v>35.492088782973262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1010.9188647343396</v>
      </c>
      <c r="AG62" s="306">
        <f t="shared" ca="1" si="27"/>
        <v>21.651463649894811</v>
      </c>
      <c r="AH62" s="304">
        <f t="shared" ca="1" si="28"/>
        <v>31.317996333164984</v>
      </c>
    </row>
    <row r="63" spans="1:34" x14ac:dyDescent="0.2">
      <c r="A63" s="347">
        <f t="shared" ca="1" si="6"/>
        <v>0.01</v>
      </c>
      <c r="B63" s="304">
        <f t="shared" ca="1" si="7"/>
        <v>7.1899999999999871</v>
      </c>
      <c r="D63" s="306">
        <f t="shared" ca="1" si="8"/>
        <v>5.3011876062227596</v>
      </c>
      <c r="E63" s="307">
        <f t="shared" ca="1" si="9"/>
        <v>20.825139469292765</v>
      </c>
      <c r="F63" s="304">
        <f t="shared" ca="1" si="10"/>
        <v>21.489276952747041</v>
      </c>
      <c r="G63" s="306">
        <f t="shared" ca="1" si="11"/>
        <v>25.31606177695036</v>
      </c>
      <c r="H63" s="307">
        <f t="shared" ca="1" si="12"/>
        <v>146.2013975766788</v>
      </c>
      <c r="I63" s="304">
        <f t="shared" ca="1" si="13"/>
        <v>148.37705899925524</v>
      </c>
      <c r="J63" s="306">
        <f t="shared" ca="1" si="14"/>
        <v>124.93791617911631</v>
      </c>
      <c r="K63" s="307">
        <f t="shared" ca="1" si="15"/>
        <v>1012.379837453133</v>
      </c>
      <c r="L63" s="304">
        <f t="shared" ca="1" si="0"/>
        <v>1020.0600071470363</v>
      </c>
      <c r="M63" s="306">
        <f t="shared" ca="1" si="16"/>
        <v>1.3993376845707541</v>
      </c>
      <c r="N63" s="304">
        <f t="shared" ca="1" si="17"/>
        <v>80.176143439513069</v>
      </c>
      <c r="P63" s="310">
        <f t="shared" ca="1" si="18"/>
        <v>3</v>
      </c>
      <c r="Q63" s="304">
        <f t="shared" ca="1" si="19"/>
        <v>163.01724137931143</v>
      </c>
      <c r="R63" s="306">
        <f t="shared" ca="1" si="20"/>
        <v>8.6521366528193921E-2</v>
      </c>
      <c r="S63" s="307">
        <f t="shared" ca="1" si="21"/>
        <v>4.1017504125148889</v>
      </c>
      <c r="T63" s="304">
        <f t="shared" ca="1" si="1"/>
        <v>40.238171546771063</v>
      </c>
      <c r="U63" s="311">
        <f t="shared" ca="1" si="2"/>
        <v>0</v>
      </c>
      <c r="V63" s="306">
        <f t="shared" ca="1" si="3"/>
        <v>1.1069586062622401</v>
      </c>
      <c r="W63" s="304">
        <f t="shared" ca="1" si="4"/>
        <v>35.58959203354182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1012.379837453133</v>
      </c>
      <c r="AG63" s="306">
        <f t="shared" ca="1" si="27"/>
        <v>21.424078296054496</v>
      </c>
      <c r="AH63" s="304">
        <f t="shared" ca="1" si="28"/>
        <v>31.090422324879881</v>
      </c>
    </row>
    <row r="64" spans="1:34" x14ac:dyDescent="0.2">
      <c r="A64" s="347">
        <f t="shared" ca="1" si="6"/>
        <v>0.01</v>
      </c>
      <c r="B64" s="304">
        <f t="shared" ca="1" si="7"/>
        <v>7.1999999999999869</v>
      </c>
      <c r="D64" s="306">
        <f t="shared" ca="1" si="8"/>
        <v>5.2658308786467076</v>
      </c>
      <c r="E64" s="307">
        <f t="shared" ca="1" si="9"/>
        <v>20.600410617718126</v>
      </c>
      <c r="F64" s="304">
        <f t="shared" ca="1" si="10"/>
        <v>21.262781860826745</v>
      </c>
      <c r="G64" s="306">
        <f t="shared" ca="1" si="11"/>
        <v>25.368720085736825</v>
      </c>
      <c r="H64" s="307">
        <f t="shared" ca="1" si="12"/>
        <v>146.40740168285598</v>
      </c>
      <c r="I64" s="304">
        <f t="shared" ca="1" si="13"/>
        <v>148.58902794726671</v>
      </c>
      <c r="J64" s="306">
        <f t="shared" ca="1" si="14"/>
        <v>125.19134008842975</v>
      </c>
      <c r="K64" s="307">
        <f t="shared" ca="1" si="15"/>
        <v>1013.8428814494306</v>
      </c>
      <c r="L64" s="304">
        <f t="shared" ca="1" si="0"/>
        <v>1021.5430778478317</v>
      </c>
      <c r="M64" s="306">
        <f t="shared" ca="1" si="16"/>
        <v>1.3992250396393604</v>
      </c>
      <c r="N64" s="304">
        <f t="shared" ca="1" si="17"/>
        <v>80.169689360360664</v>
      </c>
      <c r="P64" s="310">
        <f t="shared" ca="1" si="18"/>
        <v>3</v>
      </c>
      <c r="Q64" s="304">
        <f t="shared" ca="1" si="19"/>
        <v>162.15517241379419</v>
      </c>
      <c r="R64" s="306">
        <f t="shared" ca="1" si="20"/>
        <v>8.6063823606310305E-2</v>
      </c>
      <c r="S64" s="307">
        <f t="shared" ca="1" si="21"/>
        <v>4.1008897742788255</v>
      </c>
      <c r="T64" s="304">
        <f t="shared" ca="1" si="1"/>
        <v>40.229728685675283</v>
      </c>
      <c r="U64" s="311">
        <f t="shared" ca="1" si="2"/>
        <v>0</v>
      </c>
      <c r="V64" s="306">
        <f t="shared" ca="1" si="3"/>
        <v>1.1067962486174365</v>
      </c>
      <c r="W64" s="304">
        <f t="shared" ca="1" si="4"/>
        <v>35.68611518959198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1013.8428814494306</v>
      </c>
      <c r="AG64" s="306">
        <f t="shared" ca="1" si="27"/>
        <v>21.196800529726243</v>
      </c>
      <c r="AH64" s="304">
        <f t="shared" ca="1" si="28"/>
        <v>30.862955930706512</v>
      </c>
    </row>
    <row r="65" spans="1:34" x14ac:dyDescent="0.2">
      <c r="A65" s="347">
        <f t="shared" ca="1" si="6"/>
        <v>0.01</v>
      </c>
      <c r="B65" s="304">
        <f t="shared" ca="1" si="7"/>
        <v>7.2099999999999866</v>
      </c>
      <c r="D65" s="306">
        <f t="shared" ca="1" si="8"/>
        <v>5.2304395814048439</v>
      </c>
      <c r="E65" s="307">
        <f t="shared" ca="1" si="9"/>
        <v>20.375798344757378</v>
      </c>
      <c r="F65" s="304">
        <f t="shared" ca="1" si="10"/>
        <v>21.036412631457484</v>
      </c>
      <c r="G65" s="306">
        <f t="shared" ca="1" si="11"/>
        <v>25.421024481550873</v>
      </c>
      <c r="H65" s="307">
        <f t="shared" ca="1" si="12"/>
        <v>146.61115966630356</v>
      </c>
      <c r="I65" s="304">
        <f t="shared" ca="1" si="13"/>
        <v>148.79872521090348</v>
      </c>
      <c r="J65" s="306">
        <f t="shared" ca="1" si="14"/>
        <v>125.4452888112662</v>
      </c>
      <c r="K65" s="307">
        <f t="shared" ca="1" si="15"/>
        <v>1015.3079742561764</v>
      </c>
      <c r="L65" s="304">
        <f t="shared" ca="1" si="0"/>
        <v>1023.0282513562969</v>
      </c>
      <c r="M65" s="306">
        <f t="shared" ca="1" si="16"/>
        <v>1.3991124802799766</v>
      </c>
      <c r="N65" s="304">
        <f t="shared" ca="1" si="17"/>
        <v>80.163240184123282</v>
      </c>
      <c r="P65" s="310">
        <f t="shared" ca="1" si="18"/>
        <v>3</v>
      </c>
      <c r="Q65" s="304">
        <f t="shared" ca="1" si="19"/>
        <v>161.29310344827698</v>
      </c>
      <c r="R65" s="306">
        <f t="shared" ca="1" si="20"/>
        <v>8.5606280684426689E-2</v>
      </c>
      <c r="S65" s="307">
        <f t="shared" ca="1" si="21"/>
        <v>4.1000337114719816</v>
      </c>
      <c r="T65" s="304">
        <f t="shared" ca="1" si="1"/>
        <v>40.22133070954014</v>
      </c>
      <c r="U65" s="311">
        <f t="shared" ca="1" si="2"/>
        <v>0</v>
      </c>
      <c r="V65" s="306">
        <f t="shared" ca="1" si="3"/>
        <v>1.1066336862645634</v>
      </c>
      <c r="W65" s="304">
        <f t="shared" ca="1" si="4"/>
        <v>35.781654547152918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1015.3079742561764</v>
      </c>
      <c r="AG65" s="306">
        <f t="shared" ca="1" si="27"/>
        <v>20.969632102590921</v>
      </c>
      <c r="AH65" s="304">
        <f t="shared" ca="1" si="28"/>
        <v>30.635598899402698</v>
      </c>
    </row>
    <row r="66" spans="1:34" x14ac:dyDescent="0.2">
      <c r="A66" s="347">
        <f t="shared" ca="1" si="6"/>
        <v>0.01</v>
      </c>
      <c r="B66" s="304">
        <f t="shared" ca="1" si="7"/>
        <v>7.2199999999999864</v>
      </c>
      <c r="D66" s="306">
        <f t="shared" ca="1" si="8"/>
        <v>5.1950141646422372</v>
      </c>
      <c r="E66" s="307">
        <f t="shared" ca="1" si="9"/>
        <v>20.151304341366377</v>
      </c>
      <c r="F66" s="304">
        <f t="shared" ca="1" si="10"/>
        <v>20.810171523300927</v>
      </c>
      <c r="G66" s="306">
        <f t="shared" ca="1" si="11"/>
        <v>25.472974623197295</v>
      </c>
      <c r="H66" s="307">
        <f t="shared" ca="1" si="12"/>
        <v>146.81267270971722</v>
      </c>
      <c r="I66" s="304">
        <f t="shared" ca="1" si="13"/>
        <v>149.00615190093529</v>
      </c>
      <c r="J66" s="306">
        <f t="shared" ca="1" si="14"/>
        <v>125.69975880678993</v>
      </c>
      <c r="K66" s="307">
        <f t="shared" ca="1" si="15"/>
        <v>1016.7750934180565</v>
      </c>
      <c r="L66" s="304">
        <f t="shared" ca="1" si="0"/>
        <v>1024.5155049873001</v>
      </c>
      <c r="M66" s="306">
        <f t="shared" ca="1" si="16"/>
        <v>1.3990000045947972</v>
      </c>
      <c r="N66" s="304">
        <f t="shared" ca="1" si="17"/>
        <v>80.156795802064664</v>
      </c>
      <c r="P66" s="310">
        <f t="shared" ca="1" si="18"/>
        <v>3</v>
      </c>
      <c r="Q66" s="304">
        <f t="shared" ca="1" si="19"/>
        <v>160.43103448275974</v>
      </c>
      <c r="R66" s="306">
        <f t="shared" ca="1" si="20"/>
        <v>8.5148737762543072E-2</v>
      </c>
      <c r="S66" s="307">
        <f t="shared" ca="1" si="21"/>
        <v>4.0991822240943563</v>
      </c>
      <c r="T66" s="304">
        <f t="shared" ca="1" si="1"/>
        <v>40.212977618365635</v>
      </c>
      <c r="U66" s="311">
        <f t="shared" ca="1" si="2"/>
        <v>0</v>
      </c>
      <c r="V66" s="306">
        <f t="shared" ca="1" si="3"/>
        <v>1.1064709217850277</v>
      </c>
      <c r="W66" s="304">
        <f t="shared" ca="1" si="4"/>
        <v>35.876206467973887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1016.7750934180565</v>
      </c>
      <c r="AG66" s="306">
        <f t="shared" ca="1" si="27"/>
        <v>20.742574750980125</v>
      </c>
      <c r="AH66" s="304">
        <f t="shared" ca="1" si="28"/>
        <v>30.408352964388147</v>
      </c>
    </row>
    <row r="67" spans="1:34" x14ac:dyDescent="0.2">
      <c r="A67" s="347">
        <f t="shared" ca="1" si="6"/>
        <v>0.01</v>
      </c>
      <c r="B67" s="304">
        <f t="shared" ca="1" si="7"/>
        <v>7.2299999999999862</v>
      </c>
      <c r="D67" s="306">
        <f t="shared" ca="1" si="8"/>
        <v>5.125388401321608</v>
      </c>
      <c r="E67" s="307">
        <f t="shared" ca="1" si="9"/>
        <v>19.730011757722295</v>
      </c>
      <c r="F67" s="304">
        <f t="shared" ca="1" si="10"/>
        <v>20.384871111298743</v>
      </c>
      <c r="G67" s="306">
        <f t="shared" ca="1" si="11"/>
        <v>25.524228507210513</v>
      </c>
      <c r="H67" s="307">
        <f t="shared" ca="1" si="12"/>
        <v>147.00997282729443</v>
      </c>
      <c r="I67" s="304">
        <f t="shared" ca="1" si="13"/>
        <v>149.20931053915552</v>
      </c>
      <c r="J67" s="306">
        <f t="shared" ca="1" si="14"/>
        <v>125.95474482244197</v>
      </c>
      <c r="K67" s="307">
        <f t="shared" ca="1" si="15"/>
        <v>1018.2442066457415</v>
      </c>
      <c r="L67" s="304">
        <f t="shared" ca="1" si="0"/>
        <v>1026.0048060856743</v>
      </c>
      <c r="M67" s="306">
        <f t="shared" ca="1" si="16"/>
        <v>1.3988876091918923</v>
      </c>
      <c r="N67" s="304">
        <f t="shared" ca="1" si="17"/>
        <v>80.150356019841524</v>
      </c>
      <c r="P67" s="310">
        <f t="shared" ca="1" si="18"/>
        <v>4</v>
      </c>
      <c r="Q67" s="304">
        <f t="shared" ca="1" si="19"/>
        <v>158.75000000000333</v>
      </c>
      <c r="R67" s="306">
        <f t="shared" ca="1" si="20"/>
        <v>8.4256529064871175E-2</v>
      </c>
      <c r="S67" s="307">
        <f t="shared" ca="1" si="21"/>
        <v>4.0983396588037078</v>
      </c>
      <c r="T67" s="304">
        <f t="shared" ca="1" si="1"/>
        <v>40.204712052864373</v>
      </c>
      <c r="U67" s="311">
        <f t="shared" ca="1" si="2"/>
        <v>0</v>
      </c>
      <c r="V67" s="306">
        <f t="shared" ca="1" si="3"/>
        <v>1.1063079588497091</v>
      </c>
      <c r="W67" s="304">
        <f t="shared" ca="1" si="4"/>
        <v>35.968803829490739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1018.2442066457415</v>
      </c>
      <c r="AG67" s="306">
        <f t="shared" ca="1" si="27"/>
        <v>20.315769576002658</v>
      </c>
      <c r="AH67" s="304">
        <f t="shared" ca="1" si="28"/>
        <v>29.981359223870651</v>
      </c>
    </row>
    <row r="68" spans="1:34" x14ac:dyDescent="0.2">
      <c r="A68" s="347">
        <f t="shared" ca="1" si="6"/>
        <v>0.01</v>
      </c>
      <c r="B68" s="304">
        <f t="shared" ca="1" si="7"/>
        <v>7.239999999999986</v>
      </c>
      <c r="D68" s="306">
        <f t="shared" ca="1" si="8"/>
        <v>5.021510536397761</v>
      </c>
      <c r="E68" s="307">
        <f t="shared" ca="1" si="9"/>
        <v>19.112015303979312</v>
      </c>
      <c r="F68" s="304">
        <f t="shared" ca="1" si="10"/>
        <v>19.760685642120144</v>
      </c>
      <c r="G68" s="306">
        <f t="shared" ca="1" si="11"/>
        <v>25.574443612574491</v>
      </c>
      <c r="H68" s="307">
        <f t="shared" ca="1" si="12"/>
        <v>147.20109298033424</v>
      </c>
      <c r="I68" s="304">
        <f t="shared" ca="1" si="13"/>
        <v>149.40620449197471</v>
      </c>
      <c r="J68" s="306">
        <f t="shared" ca="1" si="14"/>
        <v>126.21023818304089</v>
      </c>
      <c r="K68" s="307">
        <f t="shared" ca="1" si="15"/>
        <v>1019.7152619747797</v>
      </c>
      <c r="L68" s="304">
        <f t="shared" ref="L68:L131" ca="1" si="29">SQRT(pos_x^2+pos_z^2)</f>
        <v>1027.4961020493038</v>
      </c>
      <c r="M68" s="306">
        <f t="shared" ca="1" si="16"/>
        <v>1.398775289196851</v>
      </c>
      <c r="N68" s="304">
        <f t="shared" ca="1" si="17"/>
        <v>80.143920558170734</v>
      </c>
      <c r="P68" s="310">
        <f t="shared" ca="1" si="18"/>
        <v>4</v>
      </c>
      <c r="Q68" s="304">
        <f t="shared" ca="1" si="19"/>
        <v>156.25000000000338</v>
      </c>
      <c r="R68" s="306">
        <f t="shared" ca="1" si="20"/>
        <v>8.2929654591408691E-2</v>
      </c>
      <c r="S68" s="307">
        <f t="shared" ca="1" si="21"/>
        <v>4.0975103622577933</v>
      </c>
      <c r="T68" s="304">
        <f t="shared" ref="T68:T131" ca="1" si="30">m*g</f>
        <v>40.196576653748956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1.1061448033096002</v>
      </c>
      <c r="W68" s="304">
        <f t="shared" ref="W68:W131" ca="1" si="33">1/2*Rho*Sref*Cx*vit_xz^2</f>
        <v>36.058475451228254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1019.7152619747797</v>
      </c>
      <c r="AG68" s="306">
        <f t="shared" ca="1" si="27"/>
        <v>19.689301038116323</v>
      </c>
      <c r="AH68" s="304">
        <f t="shared" ca="1" si="28"/>
        <v>29.354702132891202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7.2499999999999858</v>
      </c>
      <c r="D69" s="306">
        <f t="shared" ref="D69:D132" ca="1" si="37">IF(AND(L68&lt;L_rampe,Poussee&lt;Poids*SIN(M68)),0,(-W68+Poussee)/m*COS(M68)-U68/m*SIN(M68))</f>
        <v>4.9175545751105147</v>
      </c>
      <c r="E69" s="307">
        <f t="shared" ref="E69:E132" ca="1" si="38">IF(AND(L68&lt;L_rampe,Poussee&lt;Poids*SIN(M68)),0,(-W68+Poussee)/m*SIN(M68)+U68/m*COS(M68)-Poids/m)</f>
        <v>18.494404944739344</v>
      </c>
      <c r="F69" s="304">
        <f t="shared" ref="F69:F132" ca="1" si="39">SQRT(acc_x^2+acc_z^2)</f>
        <v>19.137015369675321</v>
      </c>
      <c r="G69" s="306">
        <f t="shared" ref="G69:G132" ca="1" si="40">G68+acc_x*pas</f>
        <v>25.623619158325596</v>
      </c>
      <c r="H69" s="307">
        <f t="shared" ref="H69:H132" ca="1" si="41">H68+acc_z*pas</f>
        <v>147.38603702978162</v>
      </c>
      <c r="I69" s="304">
        <f t="shared" ref="I69:I132" ca="1" si="42">SQRT(vit_x^2+vit_z^2)</f>
        <v>149.59683743353358</v>
      </c>
      <c r="J69" s="306">
        <f t="shared" ref="J69:J132" ca="1" si="43">J68+0.5*(vit_x+G68)*pas*(K68&gt;=0)</f>
        <v>126.46622849689538</v>
      </c>
      <c r="K69" s="307">
        <f t="shared" ref="K69:K132" ca="1" si="44">K68+0.5*(vit_z+H68)*pas</f>
        <v>1021.1881976248302</v>
      </c>
      <c r="L69" s="304">
        <f t="shared" ca="1" si="29"/>
        <v>1028.9893303229526</v>
      </c>
      <c r="M69" s="306">
        <f t="shared" ref="M69:M132" ca="1" si="45">IF(AND(L68&gt;L_rampe,G69&gt;0),ATAN2(G69,H69),$M$4)</f>
        <v>1.3986630397635884</v>
      </c>
      <c r="N69" s="304">
        <f t="shared" ref="N69:N132" ca="1" si="46">DEGREES(Beta)</f>
        <v>80.137489139392059</v>
      </c>
      <c r="P69" s="310">
        <f t="shared" ref="P69:P132" ca="1" si="47">MATCH(t-pas/2-T_ini,CdP_t)</f>
        <v>4</v>
      </c>
      <c r="Q69" s="304">
        <f t="shared" ref="Q69:Q132" ca="1" si="48">(INDEX(CdP,2,i_P+1)-INDEX(CdP,2,i_P+0))/(INDEX(CdP,1,i_P+1)-INDEX(CdP,1,i_P+0))*(t-pas/2-T_ini-INDEX(CdP,1,i_P+0))+INDEX(CdP,2,i_P+0)</f>
        <v>153.75000000000344</v>
      </c>
      <c r="R69" s="306">
        <f t="shared" ref="R69:R132" ca="1" si="49">Poussee/(g*ISP)</f>
        <v>8.1602780117946208E-2</v>
      </c>
      <c r="S69" s="307">
        <f t="shared" ref="S69:S132" ca="1" si="50">S68-Débit*pas</f>
        <v>4.0966943344566138</v>
      </c>
      <c r="T69" s="304">
        <f t="shared" ca="1" si="30"/>
        <v>40.188571421019383</v>
      </c>
      <c r="U69" s="311">
        <f t="shared" ca="1" si="31"/>
        <v>0</v>
      </c>
      <c r="V69" s="306">
        <f t="shared" ca="1" si="32"/>
        <v>1.1059814621010091</v>
      </c>
      <c r="W69" s="304">
        <f t="shared" ca="1" si="33"/>
        <v>36.145212611503098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1021.1881976248302</v>
      </c>
      <c r="AG69" s="306">
        <f t="shared" ref="AG69:AG132" ca="1" si="56">IF(AND(L68&lt;L_rampe,Poussee&lt;Poids*SIN(M68)),0,(-W68+Poussee)/m-Poids*SIN(M68)/m)</f>
        <v>19.063199910365434</v>
      </c>
      <c r="AH69" s="304">
        <f t="shared" ref="AH69:AH132" ca="1" si="57">IF(AND(L68&lt;L_rampe,Poussee&lt;Poids*SIN(M68)), g*SIN(M68), (-W68+Poussee)/m)</f>
        <v>28.728412456572944</v>
      </c>
    </row>
    <row r="70" spans="1:34" x14ac:dyDescent="0.2">
      <c r="A70" s="347">
        <f t="shared" ca="1" si="35"/>
        <v>0.01</v>
      </c>
      <c r="B70" s="304">
        <f t="shared" ca="1" si="36"/>
        <v>7.2599999999999856</v>
      </c>
      <c r="D70" s="306">
        <f t="shared" ca="1" si="37"/>
        <v>4.8135223622365402</v>
      </c>
      <c r="E70" s="307">
        <f t="shared" ca="1" si="38"/>
        <v>17.877188946287653</v>
      </c>
      <c r="F70" s="304">
        <f t="shared" ca="1" si="39"/>
        <v>18.513883497338441</v>
      </c>
      <c r="G70" s="306">
        <f t="shared" ca="1" si="40"/>
        <v>25.671754381947963</v>
      </c>
      <c r="H70" s="307">
        <f t="shared" ca="1" si="41"/>
        <v>147.56480891924448</v>
      </c>
      <c r="I70" s="304">
        <f t="shared" ca="1" si="42"/>
        <v>149.78121312240799</v>
      </c>
      <c r="J70" s="306">
        <f t="shared" ca="1" si="43"/>
        <v>126.72270536459675</v>
      </c>
      <c r="K70" s="307">
        <f t="shared" ca="1" si="44"/>
        <v>1022.6629518545753</v>
      </c>
      <c r="L70" s="304">
        <f t="shared" ca="1" si="29"/>
        <v>1030.4844283883363</v>
      </c>
      <c r="M70" s="306">
        <f t="shared" ca="1" si="45"/>
        <v>1.3985508560730573</v>
      </c>
      <c r="N70" s="304">
        <f t="shared" ca="1" si="46"/>
        <v>80.131061487394419</v>
      </c>
      <c r="P70" s="310">
        <f t="shared" ca="1" si="47"/>
        <v>4</v>
      </c>
      <c r="Q70" s="304">
        <f t="shared" ca="1" si="48"/>
        <v>151.2500000000035</v>
      </c>
      <c r="R70" s="306">
        <f t="shared" ca="1" si="49"/>
        <v>8.0275905644483739E-2</v>
      </c>
      <c r="S70" s="307">
        <f t="shared" ca="1" si="50"/>
        <v>4.0958915754001692</v>
      </c>
      <c r="T70" s="304">
        <f t="shared" ca="1" si="30"/>
        <v>40.180696354675661</v>
      </c>
      <c r="U70" s="311">
        <f t="shared" ca="1" si="31"/>
        <v>0</v>
      </c>
      <c r="V70" s="306">
        <f t="shared" ca="1" si="32"/>
        <v>1.1058179421521539</v>
      </c>
      <c r="W70" s="304">
        <f t="shared" ca="1" si="33"/>
        <v>36.229007029510441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1022.6629518545753</v>
      </c>
      <c r="AG70" s="306">
        <f t="shared" ca="1" si="56"/>
        <v>18.437474636263357</v>
      </c>
      <c r="AH70" s="304">
        <f t="shared" ca="1" si="57"/>
        <v>28.102498630534342</v>
      </c>
    </row>
    <row r="71" spans="1:34" x14ac:dyDescent="0.2">
      <c r="A71" s="347">
        <f t="shared" ca="1" si="35"/>
        <v>0.01</v>
      </c>
      <c r="B71" s="304">
        <f t="shared" ca="1" si="36"/>
        <v>7.2699999999999854</v>
      </c>
      <c r="D71" s="306">
        <f t="shared" ca="1" si="37"/>
        <v>4.6780209203944674</v>
      </c>
      <c r="E71" s="307">
        <f t="shared" ca="1" si="38"/>
        <v>17.079913831664555</v>
      </c>
      <c r="F71" s="304">
        <f t="shared" ca="1" si="39"/>
        <v>17.708962031376501</v>
      </c>
      <c r="G71" s="306">
        <f t="shared" ca="1" si="40"/>
        <v>25.718534591151908</v>
      </c>
      <c r="H71" s="307">
        <f t="shared" ca="1" si="41"/>
        <v>147.73560805756114</v>
      </c>
      <c r="I71" s="304">
        <f t="shared" ca="1" si="42"/>
        <v>149.95750367905435</v>
      </c>
      <c r="J71" s="306">
        <f t="shared" ca="1" si="43"/>
        <v>126.97965680946224</v>
      </c>
      <c r="K71" s="307">
        <f t="shared" ca="1" si="44"/>
        <v>1024.1394539394594</v>
      </c>
      <c r="L71" s="304">
        <f t="shared" ca="1" si="29"/>
        <v>1031.981324617293</v>
      </c>
      <c r="M71" s="306">
        <f t="shared" ca="1" si="45"/>
        <v>1.3984387319624085</v>
      </c>
      <c r="N71" s="304">
        <f t="shared" ca="1" si="46"/>
        <v>80.124637249072592</v>
      </c>
      <c r="P71" s="310">
        <f t="shared" ca="1" si="47"/>
        <v>5</v>
      </c>
      <c r="Q71" s="304">
        <f t="shared" ca="1" si="48"/>
        <v>148.00000000000568</v>
      </c>
      <c r="R71" s="306">
        <f t="shared" ca="1" si="49"/>
        <v>7.8550968828983631E-2</v>
      </c>
      <c r="S71" s="307">
        <f t="shared" ca="1" si="50"/>
        <v>4.095106065711879</v>
      </c>
      <c r="T71" s="304">
        <f t="shared" ca="1" si="30"/>
        <v>40.172990504633532</v>
      </c>
      <c r="U71" s="311">
        <f t="shared" ca="1" si="31"/>
        <v>0</v>
      </c>
      <c r="V71" s="306">
        <f t="shared" ca="1" si="32"/>
        <v>1.1056542513833298</v>
      </c>
      <c r="W71" s="304">
        <f t="shared" ca="1" si="33"/>
        <v>36.308963867823266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1024.1394539394594</v>
      </c>
      <c r="AG71" s="306">
        <f t="shared" ca="1" si="56"/>
        <v>17.628961402728102</v>
      </c>
      <c r="AH71" s="304">
        <f t="shared" ca="1" si="57"/>
        <v>27.293796833822757</v>
      </c>
    </row>
    <row r="72" spans="1:34" x14ac:dyDescent="0.2">
      <c r="A72" s="347">
        <f t="shared" ca="1" si="35"/>
        <v>0.01</v>
      </c>
      <c r="B72" s="304">
        <f t="shared" ca="1" si="36"/>
        <v>7.2799999999999851</v>
      </c>
      <c r="D72" s="306">
        <f t="shared" ca="1" si="37"/>
        <v>4.511006771319285</v>
      </c>
      <c r="E72" s="307">
        <f t="shared" ca="1" si="38"/>
        <v>16.102686663800348</v>
      </c>
      <c r="F72" s="304">
        <f t="shared" ca="1" si="39"/>
        <v>16.722610438667225</v>
      </c>
      <c r="G72" s="306">
        <f t="shared" ca="1" si="40"/>
        <v>25.7636446588651</v>
      </c>
      <c r="H72" s="307">
        <f t="shared" ca="1" si="41"/>
        <v>147.89663492419913</v>
      </c>
      <c r="I72" s="304">
        <f t="shared" ca="1" si="42"/>
        <v>150.1238822040321</v>
      </c>
      <c r="J72" s="306">
        <f t="shared" ca="1" si="43"/>
        <v>127.23706770571232</v>
      </c>
      <c r="K72" s="307">
        <f t="shared" ca="1" si="44"/>
        <v>1025.6176151543682</v>
      </c>
      <c r="L72" s="304">
        <f t="shared" ca="1" si="29"/>
        <v>1033.4799291293864</v>
      </c>
      <c r="M72" s="306">
        <f t="shared" ca="1" si="45"/>
        <v>1.3983266599323414</v>
      </c>
      <c r="N72" s="304">
        <f t="shared" ca="1" si="46"/>
        <v>80.118215994748283</v>
      </c>
      <c r="P72" s="310">
        <f t="shared" ca="1" si="47"/>
        <v>5</v>
      </c>
      <c r="Q72" s="304">
        <f t="shared" ca="1" si="48"/>
        <v>144.00000000000577</v>
      </c>
      <c r="R72" s="306">
        <f t="shared" ca="1" si="49"/>
        <v>7.6427969671443663E-2</v>
      </c>
      <c r="S72" s="307">
        <f t="shared" ca="1" si="50"/>
        <v>4.094341786015165</v>
      </c>
      <c r="T72" s="304">
        <f t="shared" ca="1" si="30"/>
        <v>40.165492920808774</v>
      </c>
      <c r="U72" s="311">
        <f t="shared" ca="1" si="31"/>
        <v>0</v>
      </c>
      <c r="V72" s="306">
        <f t="shared" ca="1" si="32"/>
        <v>1.1054903997056851</v>
      </c>
      <c r="W72" s="304">
        <f t="shared" ca="1" si="33"/>
        <v>36.38418575292804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1025.6176151543682</v>
      </c>
      <c r="AG72" s="306">
        <f t="shared" ca="1" si="56"/>
        <v>16.637758218927388</v>
      </c>
      <c r="AH72" s="304">
        <f t="shared" ca="1" si="57"/>
        <v>26.302405065453328</v>
      </c>
    </row>
    <row r="73" spans="1:34" x14ac:dyDescent="0.2">
      <c r="A73" s="347">
        <f t="shared" ca="1" si="35"/>
        <v>0.01</v>
      </c>
      <c r="B73" s="304">
        <f t="shared" ca="1" si="36"/>
        <v>7.2899999999999849</v>
      </c>
      <c r="D73" s="306">
        <f t="shared" ca="1" si="37"/>
        <v>4.2879799569238903</v>
      </c>
      <c r="E73" s="307">
        <f t="shared" ca="1" si="38"/>
        <v>14.805220969259844</v>
      </c>
      <c r="F73" s="304">
        <f t="shared" ca="1" si="39"/>
        <v>15.413673801517678</v>
      </c>
      <c r="G73" s="306">
        <f t="shared" ca="1" si="40"/>
        <v>25.806524458434339</v>
      </c>
      <c r="H73" s="307">
        <f t="shared" ca="1" si="41"/>
        <v>148.04468713389173</v>
      </c>
      <c r="I73" s="304">
        <f t="shared" ca="1" si="42"/>
        <v>150.27709770020067</v>
      </c>
      <c r="J73" s="306">
        <f t="shared" ca="1" si="43"/>
        <v>127.49491855129882</v>
      </c>
      <c r="K73" s="307">
        <f t="shared" ca="1" si="44"/>
        <v>1027.0973217646585</v>
      </c>
      <c r="L73" s="304">
        <f t="shared" ca="1" si="29"/>
        <v>1034.9801266848251</v>
      </c>
      <c r="M73" s="306">
        <f t="shared" ca="1" si="45"/>
        <v>1.3982146300904157</v>
      </c>
      <c r="N73" s="304">
        <f t="shared" ca="1" si="46"/>
        <v>80.111797157626413</v>
      </c>
      <c r="P73" s="310">
        <f t="shared" ca="1" si="47"/>
        <v>6</v>
      </c>
      <c r="Q73" s="304">
        <f t="shared" ca="1" si="48"/>
        <v>138.66666666667643</v>
      </c>
      <c r="R73" s="306">
        <f t="shared" ca="1" si="49"/>
        <v>7.3597304128059093E-2</v>
      </c>
      <c r="S73" s="307">
        <f t="shared" ca="1" si="50"/>
        <v>4.0936058129738839</v>
      </c>
      <c r="T73" s="304">
        <f t="shared" ca="1" si="30"/>
        <v>40.1582730252738</v>
      </c>
      <c r="U73" s="311">
        <f t="shared" ca="1" si="31"/>
        <v>0</v>
      </c>
      <c r="V73" s="306">
        <f t="shared" ca="1" si="32"/>
        <v>1.1053263997965734</v>
      </c>
      <c r="W73" s="304">
        <f t="shared" ca="1" si="33"/>
        <v>36.453081965857407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1027.0973217646585</v>
      </c>
      <c r="AG73" s="306">
        <f t="shared" ca="1" si="56"/>
        <v>15.321455312827409</v>
      </c>
      <c r="AH73" s="304">
        <f t="shared" ca="1" si="57"/>
        <v>24.985913540962848</v>
      </c>
    </row>
    <row r="74" spans="1:34" x14ac:dyDescent="0.2">
      <c r="A74" s="347">
        <f t="shared" ca="1" si="35"/>
        <v>0.01</v>
      </c>
      <c r="B74" s="304">
        <f t="shared" ca="1" si="36"/>
        <v>7.2999999999999847</v>
      </c>
      <c r="D74" s="306">
        <f t="shared" ca="1" si="37"/>
        <v>4.0088676174311555</v>
      </c>
      <c r="E74" s="307">
        <f t="shared" ca="1" si="38"/>
        <v>13.187732729942036</v>
      </c>
      <c r="F74" s="304">
        <f t="shared" ca="1" si="39"/>
        <v>13.783588579556218</v>
      </c>
      <c r="G74" s="306">
        <f t="shared" ca="1" si="40"/>
        <v>25.846613134608649</v>
      </c>
      <c r="H74" s="307">
        <f t="shared" ca="1" si="41"/>
        <v>148.17656446119113</v>
      </c>
      <c r="I74" s="304">
        <f t="shared" ca="1" si="42"/>
        <v>150.41390117290243</v>
      </c>
      <c r="J74" s="306">
        <f t="shared" ca="1" si="43"/>
        <v>127.75318423926404</v>
      </c>
      <c r="K74" s="307">
        <f t="shared" ca="1" si="44"/>
        <v>1028.5784280226339</v>
      </c>
      <c r="L74" s="304">
        <f t="shared" ca="1" si="29"/>
        <v>1036.4817695824584</v>
      </c>
      <c r="M74" s="306">
        <f t="shared" ca="1" si="45"/>
        <v>1.3981026301599531</v>
      </c>
      <c r="N74" s="304">
        <f t="shared" ca="1" si="46"/>
        <v>80.105380034305156</v>
      </c>
      <c r="P74" s="310">
        <f t="shared" ca="1" si="47"/>
        <v>6</v>
      </c>
      <c r="Q74" s="304">
        <f t="shared" ca="1" si="48"/>
        <v>132.00000000000992</v>
      </c>
      <c r="R74" s="306">
        <f t="shared" ca="1" si="49"/>
        <v>7.0058972198825814E-2</v>
      </c>
      <c r="S74" s="307">
        <f t="shared" ca="1" si="50"/>
        <v>4.0929052232518961</v>
      </c>
      <c r="T74" s="304">
        <f t="shared" ca="1" si="30"/>
        <v>40.151400240101104</v>
      </c>
      <c r="U74" s="311">
        <f t="shared" ca="1" si="31"/>
        <v>0</v>
      </c>
      <c r="V74" s="306">
        <f t="shared" ca="1" si="32"/>
        <v>1.1051622678736439</v>
      </c>
      <c r="W74" s="304">
        <f t="shared" ca="1" si="33"/>
        <v>36.514058835009273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1028.5784280226339</v>
      </c>
      <c r="AG74" s="306">
        <f t="shared" ca="1" si="56"/>
        <v>13.680252930695037</v>
      </c>
      <c r="AH74" s="304">
        <f t="shared" ca="1" si="57"/>
        <v>23.344522490124643</v>
      </c>
    </row>
    <row r="75" spans="1:34" x14ac:dyDescent="0.2">
      <c r="A75" s="347">
        <f t="shared" ca="1" si="35"/>
        <v>0.01</v>
      </c>
      <c r="B75" s="304">
        <f t="shared" ca="1" si="36"/>
        <v>7.3099999999999845</v>
      </c>
      <c r="D75" s="306">
        <f t="shared" ca="1" si="37"/>
        <v>3.7295960017622445</v>
      </c>
      <c r="E75" s="307">
        <f t="shared" ca="1" si="38"/>
        <v>11.571475379044548</v>
      </c>
      <c r="F75" s="304">
        <f t="shared" ca="1" si="39"/>
        <v>12.15766954577213</v>
      </c>
      <c r="G75" s="306">
        <f t="shared" ca="1" si="40"/>
        <v>25.883909094626272</v>
      </c>
      <c r="H75" s="307">
        <f t="shared" ca="1" si="41"/>
        <v>148.29227921498159</v>
      </c>
      <c r="I75" s="304">
        <f t="shared" ca="1" si="42"/>
        <v>150.53430447839102</v>
      </c>
      <c r="J75" s="306">
        <f t="shared" ca="1" si="43"/>
        <v>128.01183685041022</v>
      </c>
      <c r="K75" s="307">
        <f t="shared" ca="1" si="44"/>
        <v>1030.0607722410148</v>
      </c>
      <c r="L75" s="304">
        <f t="shared" ca="1" si="29"/>
        <v>1037.984693954382</v>
      </c>
      <c r="M75" s="306">
        <f t="shared" ca="1" si="45"/>
        <v>1.3979906479084661</v>
      </c>
      <c r="N75" s="304">
        <f t="shared" ca="1" si="46"/>
        <v>80.098963923914567</v>
      </c>
      <c r="P75" s="310">
        <f t="shared" ca="1" si="47"/>
        <v>6</v>
      </c>
      <c r="Q75" s="304">
        <f t="shared" ca="1" si="48"/>
        <v>125.33333333334338</v>
      </c>
      <c r="R75" s="306">
        <f t="shared" ca="1" si="49"/>
        <v>6.6520640269592521E-2</v>
      </c>
      <c r="S75" s="307">
        <f t="shared" ca="1" si="50"/>
        <v>4.0922400168492006</v>
      </c>
      <c r="T75" s="304">
        <f t="shared" ca="1" si="30"/>
        <v>40.144874565290657</v>
      </c>
      <c r="U75" s="311">
        <f t="shared" ca="1" si="31"/>
        <v>0</v>
      </c>
      <c r="V75" s="306">
        <f t="shared" ca="1" si="32"/>
        <v>1.1049980219114908</v>
      </c>
      <c r="W75" s="304">
        <f t="shared" ca="1" si="33"/>
        <v>36.56710446965365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1030.0607722410148</v>
      </c>
      <c r="AG75" s="306">
        <f t="shared" ca="1" si="56"/>
        <v>12.040236163665661</v>
      </c>
      <c r="AH75" s="304">
        <f t="shared" ca="1" si="57"/>
        <v>21.704316983518488</v>
      </c>
    </row>
    <row r="76" spans="1:34" x14ac:dyDescent="0.2">
      <c r="A76" s="347">
        <f t="shared" ca="1" si="35"/>
        <v>0.01</v>
      </c>
      <c r="B76" s="304">
        <f t="shared" ca="1" si="36"/>
        <v>7.3199999999999843</v>
      </c>
      <c r="D76" s="306">
        <f t="shared" ca="1" si="37"/>
        <v>3.4501738156113801</v>
      </c>
      <c r="E76" s="307">
        <f t="shared" ca="1" si="38"/>
        <v>9.9564941927601343</v>
      </c>
      <c r="F76" s="304">
        <f t="shared" ca="1" si="39"/>
        <v>10.537337233305038</v>
      </c>
      <c r="G76" s="306">
        <f t="shared" ca="1" si="40"/>
        <v>25.918410832782385</v>
      </c>
      <c r="H76" s="307">
        <f t="shared" ca="1" si="41"/>
        <v>148.3918441569092</v>
      </c>
      <c r="I76" s="304">
        <f t="shared" ca="1" si="42"/>
        <v>150.63831993349274</v>
      </c>
      <c r="J76" s="306">
        <f t="shared" ca="1" si="43"/>
        <v>128.27084845004725</v>
      </c>
      <c r="K76" s="307">
        <f t="shared" ca="1" si="44"/>
        <v>1031.5441928578741</v>
      </c>
      <c r="L76" s="304">
        <f t="shared" ca="1" si="29"/>
        <v>1039.4887360529203</v>
      </c>
      <c r="M76" s="306">
        <f t="shared" ca="1" si="45"/>
        <v>1.3978786711398818</v>
      </c>
      <c r="N76" s="304">
        <f t="shared" ca="1" si="46"/>
        <v>80.092548127671179</v>
      </c>
      <c r="P76" s="310">
        <f t="shared" ca="1" si="47"/>
        <v>6</v>
      </c>
      <c r="Q76" s="304">
        <f t="shared" ca="1" si="48"/>
        <v>118.66666666667686</v>
      </c>
      <c r="R76" s="306">
        <f t="shared" ca="1" si="49"/>
        <v>6.2982308340359242E-2</v>
      </c>
      <c r="S76" s="307">
        <f t="shared" ca="1" si="50"/>
        <v>4.0916101937657974</v>
      </c>
      <c r="T76" s="304">
        <f t="shared" ca="1" si="30"/>
        <v>40.138696000842472</v>
      </c>
      <c r="U76" s="311">
        <f t="shared" ca="1" si="31"/>
        <v>0</v>
      </c>
      <c r="V76" s="306">
        <f t="shared" ca="1" si="32"/>
        <v>1.1048336798607479</v>
      </c>
      <c r="W76" s="304">
        <f t="shared" ca="1" si="33"/>
        <v>36.612209844055506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1031.5441928578741</v>
      </c>
      <c r="AG76" s="306">
        <f t="shared" ca="1" si="56"/>
        <v>10.401451069007583</v>
      </c>
      <c r="AH76" s="304">
        <f t="shared" ca="1" si="57"/>
        <v>20.06534305787844</v>
      </c>
    </row>
    <row r="77" spans="1:34" x14ac:dyDescent="0.2">
      <c r="A77" s="347">
        <f t="shared" ca="1" si="35"/>
        <v>0.01</v>
      </c>
      <c r="B77" s="304">
        <f t="shared" ca="1" si="36"/>
        <v>7.3299999999999841</v>
      </c>
      <c r="D77" s="306">
        <f t="shared" ca="1" si="37"/>
        <v>3.1706095786588073</v>
      </c>
      <c r="E77" s="307">
        <f t="shared" ca="1" si="38"/>
        <v>8.3428337332954197</v>
      </c>
      <c r="F77" s="304">
        <f t="shared" ca="1" si="39"/>
        <v>8.9250008292265708</v>
      </c>
      <c r="G77" s="306">
        <f t="shared" ca="1" si="40"/>
        <v>25.950116928568974</v>
      </c>
      <c r="H77" s="307">
        <f t="shared" ca="1" si="41"/>
        <v>148.47527249424215</v>
      </c>
      <c r="I77" s="304">
        <f t="shared" ca="1" si="42"/>
        <v>150.72596030825568</v>
      </c>
      <c r="J77" s="306">
        <f t="shared" ca="1" si="43"/>
        <v>128.530191088854</v>
      </c>
      <c r="K77" s="307">
        <f t="shared" ca="1" si="44"/>
        <v>1033.02852844113</v>
      </c>
      <c r="L77" s="304">
        <f t="shared" ca="1" si="29"/>
        <v>1040.9937322551868</v>
      </c>
      <c r="M77" s="306">
        <f t="shared" ca="1" si="45"/>
        <v>1.3977666876868335</v>
      </c>
      <c r="N77" s="304">
        <f t="shared" ca="1" si="46"/>
        <v>80.086131948436218</v>
      </c>
      <c r="P77" s="310">
        <f t="shared" ca="1" si="47"/>
        <v>6</v>
      </c>
      <c r="Q77" s="304">
        <f t="shared" ca="1" si="48"/>
        <v>112.00000000001033</v>
      </c>
      <c r="R77" s="306">
        <f t="shared" ca="1" si="49"/>
        <v>5.9443976411125948E-2</v>
      </c>
      <c r="S77" s="307">
        <f t="shared" ca="1" si="50"/>
        <v>4.0910157540016865</v>
      </c>
      <c r="T77" s="304">
        <f t="shared" ca="1" si="30"/>
        <v>40.132864546756544</v>
      </c>
      <c r="U77" s="311">
        <f t="shared" ca="1" si="31"/>
        <v>0</v>
      </c>
      <c r="V77" s="306">
        <f t="shared" ca="1" si="32"/>
        <v>1.104669259647586</v>
      </c>
      <c r="W77" s="304">
        <f t="shared" ca="1" si="33"/>
        <v>36.64936878486747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1033.02852844113</v>
      </c>
      <c r="AG77" s="306">
        <f t="shared" ca="1" si="56"/>
        <v>8.7639429689011319</v>
      </c>
      <c r="AH77" s="304">
        <f t="shared" ca="1" si="57"/>
        <v>18.427646014859064</v>
      </c>
    </row>
    <row r="78" spans="1:34" x14ac:dyDescent="0.2">
      <c r="A78" s="347">
        <f t="shared" ca="1" si="35"/>
        <v>0.01</v>
      </c>
      <c r="B78" s="304">
        <f t="shared" ca="1" si="36"/>
        <v>7.3399999999999839</v>
      </c>
      <c r="D78" s="306">
        <f t="shared" ca="1" si="37"/>
        <v>2.8909116244975834</v>
      </c>
      <c r="E78" s="307">
        <f t="shared" ca="1" si="38"/>
        <v>6.730537847500214</v>
      </c>
      <c r="F78" s="304">
        <f t="shared" ca="1" si="39"/>
        <v>7.3251286498796775</v>
      </c>
      <c r="G78" s="306">
        <f t="shared" ca="1" si="40"/>
        <v>25.979026044813949</v>
      </c>
      <c r="H78" s="307">
        <f t="shared" ca="1" si="41"/>
        <v>148.54257787271715</v>
      </c>
      <c r="I78" s="304">
        <f t="shared" ca="1" si="42"/>
        <v>150.79723881858501</v>
      </c>
      <c r="J78" s="306">
        <f t="shared" ca="1" si="43"/>
        <v>128.7898368037209</v>
      </c>
      <c r="K78" s="307">
        <f t="shared" ca="1" si="44"/>
        <v>1034.5136176929648</v>
      </c>
      <c r="L78" s="304">
        <f t="shared" ca="1" si="29"/>
        <v>1042.49951906757</v>
      </c>
      <c r="M78" s="306">
        <f t="shared" ca="1" si="45"/>
        <v>1.3976546854030105</v>
      </c>
      <c r="N78" s="304">
        <f t="shared" ca="1" si="46"/>
        <v>80.079714690277328</v>
      </c>
      <c r="P78" s="310">
        <f t="shared" ca="1" si="47"/>
        <v>6</v>
      </c>
      <c r="Q78" s="304">
        <f t="shared" ca="1" si="48"/>
        <v>105.3333333333438</v>
      </c>
      <c r="R78" s="306">
        <f t="shared" ca="1" si="49"/>
        <v>5.5905644481892662E-2</v>
      </c>
      <c r="S78" s="307">
        <f t="shared" ca="1" si="50"/>
        <v>4.0904566975568679</v>
      </c>
      <c r="T78" s="304">
        <f t="shared" ca="1" si="30"/>
        <v>40.127380203032878</v>
      </c>
      <c r="U78" s="311">
        <f t="shared" ca="1" si="31"/>
        <v>0</v>
      </c>
      <c r="V78" s="306">
        <f t="shared" ca="1" si="32"/>
        <v>1.1045047791732228</v>
      </c>
      <c r="W78" s="304">
        <f t="shared" ca="1" si="33"/>
        <v>36.678577958148999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1034.5136176929648</v>
      </c>
      <c r="AG78" s="306">
        <f t="shared" ca="1" si="56"/>
        <v>7.1277564490490164</v>
      </c>
      <c r="AH78" s="304">
        <f t="shared" ca="1" si="57"/>
        <v>16.791270419633001</v>
      </c>
    </row>
    <row r="79" spans="1:34" x14ac:dyDescent="0.2">
      <c r="A79" s="347">
        <f t="shared" ca="1" si="35"/>
        <v>0.01</v>
      </c>
      <c r="B79" s="304">
        <f t="shared" ca="1" si="36"/>
        <v>7.3499999999999837</v>
      </c>
      <c r="D79" s="306">
        <f t="shared" ca="1" si="37"/>
        <v>2.6110881005261599</v>
      </c>
      <c r="E79" s="307">
        <f t="shared" ca="1" si="38"/>
        <v>5.119649665690913</v>
      </c>
      <c r="F79" s="304">
        <f t="shared" ca="1" si="39"/>
        <v>5.7470508757203795</v>
      </c>
      <c r="G79" s="306">
        <f t="shared" ca="1" si="40"/>
        <v>26.005136925819212</v>
      </c>
      <c r="H79" s="307">
        <f t="shared" ca="1" si="41"/>
        <v>148.59377436937405</v>
      </c>
      <c r="I79" s="304">
        <f t="shared" ca="1" si="42"/>
        <v>150.85216911886633</v>
      </c>
      <c r="J79" s="306">
        <f t="shared" ca="1" si="43"/>
        <v>129.04975761857406</v>
      </c>
      <c r="K79" s="307">
        <f t="shared" ca="1" si="44"/>
        <v>1035.9992994541751</v>
      </c>
      <c r="L79" s="304">
        <f t="shared" ca="1" si="29"/>
        <v>1044.0059331301495</v>
      </c>
      <c r="M79" s="306">
        <f t="shared" ca="1" si="45"/>
        <v>1.3975426521555536</v>
      </c>
      <c r="N79" s="304">
        <f t="shared" ca="1" si="46"/>
        <v>80.073295658032904</v>
      </c>
      <c r="P79" s="310">
        <f t="shared" ca="1" si="47"/>
        <v>6</v>
      </c>
      <c r="Q79" s="304">
        <f t="shared" ca="1" si="48"/>
        <v>98.666666666677287</v>
      </c>
      <c r="R79" s="306">
        <f t="shared" ca="1" si="49"/>
        <v>5.2367312552659383E-2</v>
      </c>
      <c r="S79" s="307">
        <f t="shared" ca="1" si="50"/>
        <v>4.0899330244313417</v>
      </c>
      <c r="T79" s="304">
        <f t="shared" ca="1" si="30"/>
        <v>40.122242969671461</v>
      </c>
      <c r="U79" s="311">
        <f t="shared" ca="1" si="31"/>
        <v>0</v>
      </c>
      <c r="V79" s="306">
        <f t="shared" ca="1" si="32"/>
        <v>1.1043402563134432</v>
      </c>
      <c r="W79" s="304">
        <f t="shared" ca="1" si="33"/>
        <v>36.699836856024014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1035.9992994541751</v>
      </c>
      <c r="AG79" s="306">
        <f t="shared" ca="1" si="56"/>
        <v>5.4929353574722732</v>
      </c>
      <c r="AH79" s="304">
        <f t="shared" ca="1" si="57"/>
        <v>15.156260099674132</v>
      </c>
    </row>
    <row r="80" spans="1:34" x14ac:dyDescent="0.2">
      <c r="A80" s="347">
        <f t="shared" ca="1" si="35"/>
        <v>0.01</v>
      </c>
      <c r="B80" s="304">
        <f t="shared" ca="1" si="36"/>
        <v>7.3599999999999834</v>
      </c>
      <c r="D80" s="306">
        <f t="shared" ca="1" si="37"/>
        <v>2.3311469678071886</v>
      </c>
      <c r="E80" s="307">
        <f t="shared" ca="1" si="38"/>
        <v>3.5102116006654978</v>
      </c>
      <c r="F80" s="304">
        <f t="shared" ca="1" si="39"/>
        <v>4.2137669212906506</v>
      </c>
      <c r="G80" s="306">
        <f t="shared" ca="1" si="40"/>
        <v>26.028448395497282</v>
      </c>
      <c r="H80" s="307">
        <f t="shared" ca="1" si="41"/>
        <v>148.62887648538069</v>
      </c>
      <c r="I80" s="304">
        <f t="shared" ca="1" si="42"/>
        <v>150.89076529457861</v>
      </c>
      <c r="J80" s="306">
        <f t="shared" ca="1" si="43"/>
        <v>129.30992554518065</v>
      </c>
      <c r="K80" s="307">
        <f t="shared" ca="1" si="44"/>
        <v>1037.4854127084488</v>
      </c>
      <c r="L80" s="304">
        <f t="shared" ca="1" si="29"/>
        <v>1045.5128112210393</v>
      </c>
      <c r="M80" s="306">
        <f t="shared" ca="1" si="45"/>
        <v>1.3974305758174836</v>
      </c>
      <c r="N80" s="304">
        <f t="shared" ca="1" si="46"/>
        <v>80.066874156878214</v>
      </c>
      <c r="P80" s="310">
        <f t="shared" ca="1" si="47"/>
        <v>6</v>
      </c>
      <c r="Q80" s="304">
        <f t="shared" ca="1" si="48"/>
        <v>92.000000000010758</v>
      </c>
      <c r="R80" s="306">
        <f t="shared" ca="1" si="49"/>
        <v>4.882898062342609E-2</v>
      </c>
      <c r="S80" s="307">
        <f t="shared" ca="1" si="50"/>
        <v>4.0894447346251077</v>
      </c>
      <c r="T80" s="304">
        <f t="shared" ca="1" si="30"/>
        <v>40.117452846672307</v>
      </c>
      <c r="U80" s="311">
        <f t="shared" ca="1" si="31"/>
        <v>0</v>
      </c>
      <c r="V80" s="306">
        <f t="shared" ca="1" si="32"/>
        <v>1.1041757089181294</v>
      </c>
      <c r="W80" s="304">
        <f t="shared" ca="1" si="33"/>
        <v>36.713147782988351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1037.4854127084488</v>
      </c>
      <c r="AG80" s="306">
        <f t="shared" ca="1" si="56"/>
        <v>3.8595228034892592</v>
      </c>
      <c r="AH80" s="304">
        <f t="shared" ca="1" si="57"/>
        <v>13.522658143723829</v>
      </c>
    </row>
    <row r="81" spans="1:34" x14ac:dyDescent="0.2">
      <c r="A81" s="347">
        <f t="shared" ca="1" si="35"/>
        <v>0.01</v>
      </c>
      <c r="B81" s="304">
        <f t="shared" ca="1" si="36"/>
        <v>7.3699999999999832</v>
      </c>
      <c r="D81" s="306">
        <f t="shared" ca="1" si="37"/>
        <v>2.0510960008928287</v>
      </c>
      <c r="E81" s="307">
        <f t="shared" ca="1" si="38"/>
        <v>1.9022653469077113</v>
      </c>
      <c r="F81" s="304">
        <f t="shared" ca="1" si="39"/>
        <v>2.7974288650338313</v>
      </c>
      <c r="G81" s="306">
        <f t="shared" ca="1" si="40"/>
        <v>26.048959355506209</v>
      </c>
      <c r="H81" s="307">
        <f t="shared" ca="1" si="41"/>
        <v>148.64789913884977</v>
      </c>
      <c r="I81" s="304">
        <f t="shared" ca="1" si="42"/>
        <v>150.91304185489889</v>
      </c>
      <c r="J81" s="306">
        <f t="shared" ca="1" si="43"/>
        <v>129.57031258393567</v>
      </c>
      <c r="K81" s="307">
        <f t="shared" ca="1" si="44"/>
        <v>1038.97179658657</v>
      </c>
      <c r="L81" s="304">
        <f t="shared" ca="1" si="29"/>
        <v>1047.0199902606557</v>
      </c>
      <c r="M81" s="306">
        <f t="shared" ca="1" si="45"/>
        <v>1.3973184442601521</v>
      </c>
      <c r="N81" s="304">
        <f t="shared" ca="1" si="46"/>
        <v>80.060449491892882</v>
      </c>
      <c r="P81" s="310">
        <f t="shared" ca="1" si="47"/>
        <v>6</v>
      </c>
      <c r="Q81" s="304">
        <f t="shared" ca="1" si="48"/>
        <v>85.333333333344228</v>
      </c>
      <c r="R81" s="306">
        <f t="shared" ca="1" si="49"/>
        <v>4.5290648694192803E-2</v>
      </c>
      <c r="S81" s="307">
        <f t="shared" ca="1" si="50"/>
        <v>4.0889918281381661</v>
      </c>
      <c r="T81" s="304">
        <f t="shared" ca="1" si="30"/>
        <v>40.11300983403541</v>
      </c>
      <c r="U81" s="311">
        <f t="shared" ca="1" si="31"/>
        <v>0</v>
      </c>
      <c r="V81" s="306">
        <f t="shared" ca="1" si="32"/>
        <v>1.1040111548108029</v>
      </c>
      <c r="W81" s="304">
        <f t="shared" ca="1" si="33"/>
        <v>36.718515841879181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1038.97179658657</v>
      </c>
      <c r="AG81" s="306">
        <f t="shared" ca="1" si="56"/>
        <v>2.227561156875467</v>
      </c>
      <c r="AH81" s="304">
        <f t="shared" ca="1" si="57"/>
        <v>11.890506900937982</v>
      </c>
    </row>
    <row r="82" spans="1:34" x14ac:dyDescent="0.2">
      <c r="A82" s="347">
        <f t="shared" ca="1" si="35"/>
        <v>0.01</v>
      </c>
      <c r="B82" s="304">
        <f t="shared" ca="1" si="36"/>
        <v>7.379999999999983</v>
      </c>
      <c r="D82" s="306">
        <f t="shared" ca="1" si="37"/>
        <v>1.7709427876166011</v>
      </c>
      <c r="E82" s="307">
        <f t="shared" ca="1" si="38"/>
        <v>0.29585187997773055</v>
      </c>
      <c r="F82" s="304">
        <f t="shared" ca="1" si="39"/>
        <v>1.79548508540105</v>
      </c>
      <c r="G82" s="306">
        <f t="shared" ca="1" si="40"/>
        <v>26.066668783382376</v>
      </c>
      <c r="H82" s="307">
        <f t="shared" ca="1" si="41"/>
        <v>148.65085765764954</v>
      </c>
      <c r="I82" s="304">
        <f t="shared" ca="1" si="42"/>
        <v>150.91901372530018</v>
      </c>
      <c r="J82" s="306">
        <f t="shared" ca="1" si="43"/>
        <v>129.83089072463011</v>
      </c>
      <c r="K82" s="307">
        <f t="shared" ca="1" si="44"/>
        <v>1040.4582903705525</v>
      </c>
      <c r="L82" s="304">
        <f t="shared" ca="1" si="29"/>
        <v>1048.5273073159153</v>
      </c>
      <c r="M82" s="306">
        <f t="shared" ca="1" si="45"/>
        <v>1.3972062453457008</v>
      </c>
      <c r="N82" s="304">
        <f t="shared" ca="1" si="46"/>
        <v>80.054020967628873</v>
      </c>
      <c r="P82" s="310">
        <f t="shared" ca="1" si="47"/>
        <v>6</v>
      </c>
      <c r="Q82" s="304">
        <f t="shared" ca="1" si="48"/>
        <v>78.666666666677713</v>
      </c>
      <c r="R82" s="306">
        <f t="shared" ca="1" si="49"/>
        <v>4.1752316764959524E-2</v>
      </c>
      <c r="S82" s="307">
        <f t="shared" ca="1" si="50"/>
        <v>4.0885743049705168</v>
      </c>
      <c r="T82" s="304">
        <f t="shared" ca="1" si="30"/>
        <v>40.108913931760775</v>
      </c>
      <c r="U82" s="311">
        <f t="shared" ca="1" si="31"/>
        <v>0</v>
      </c>
      <c r="V82" s="306">
        <f t="shared" ca="1" si="32"/>
        <v>1.1038466117881809</v>
      </c>
      <c r="W82" s="304">
        <f t="shared" ca="1" si="33"/>
        <v>36.715948919518105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1040.4582903705525</v>
      </c>
      <c r="AG82" s="306">
        <f t="shared" ca="1" si="56"/>
        <v>0.59709204720132369</v>
      </c>
      <c r="AH82" s="304">
        <f t="shared" ca="1" si="57"/>
        <v>10.259847980212022</v>
      </c>
    </row>
    <row r="83" spans="1:34" x14ac:dyDescent="0.2">
      <c r="A83" s="347">
        <f t="shared" ca="1" si="35"/>
        <v>0.01</v>
      </c>
      <c r="B83" s="304">
        <f t="shared" ca="1" si="36"/>
        <v>7.3899999999999828</v>
      </c>
      <c r="D83" s="306">
        <f t="shared" ca="1" si="37"/>
        <v>1.4906947288517789</v>
      </c>
      <c r="E83" s="307">
        <f t="shared" ca="1" si="38"/>
        <v>-1.308988543913177</v>
      </c>
      <c r="F83" s="304">
        <f t="shared" ca="1" si="39"/>
        <v>1.9838401605780689</v>
      </c>
      <c r="G83" s="306">
        <f t="shared" ca="1" si="40"/>
        <v>26.081575730670895</v>
      </c>
      <c r="H83" s="307">
        <f t="shared" ca="1" si="41"/>
        <v>148.6377677722104</v>
      </c>
      <c r="I83" s="304">
        <f t="shared" ca="1" si="42"/>
        <v>150.90869624014471</v>
      </c>
      <c r="J83" s="306">
        <f t="shared" ca="1" si="43"/>
        <v>130.09163194720037</v>
      </c>
      <c r="K83" s="307">
        <f t="shared" ca="1" si="44"/>
        <v>1041.9447334977017</v>
      </c>
      <c r="L83" s="304">
        <f t="shared" ca="1" si="29"/>
        <v>1050.034599604357</v>
      </c>
      <c r="M83" s="306">
        <f t="shared" ca="1" si="45"/>
        <v>1.3970939669195204</v>
      </c>
      <c r="N83" s="304">
        <f t="shared" ca="1" si="46"/>
        <v>80.047587887678361</v>
      </c>
      <c r="P83" s="310">
        <f t="shared" ca="1" si="47"/>
        <v>6</v>
      </c>
      <c r="Q83" s="304">
        <f t="shared" ca="1" si="48"/>
        <v>72.000000000011184</v>
      </c>
      <c r="R83" s="306">
        <f t="shared" ca="1" si="49"/>
        <v>3.8213984835726238E-2</v>
      </c>
      <c r="S83" s="307">
        <f t="shared" ca="1" si="50"/>
        <v>4.0881921651221598</v>
      </c>
      <c r="T83" s="304">
        <f t="shared" ca="1" si="30"/>
        <v>40.105165139848388</v>
      </c>
      <c r="U83" s="311">
        <f t="shared" ca="1" si="31"/>
        <v>0</v>
      </c>
      <c r="V83" s="306">
        <f t="shared" ca="1" si="32"/>
        <v>1.1036820976197368</v>
      </c>
      <c r="W83" s="304">
        <f t="shared" ca="1" si="33"/>
        <v>36.705457672039337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1041.9447334977017</v>
      </c>
      <c r="AG83" s="306">
        <f t="shared" ca="1" si="56"/>
        <v>-1.031843636654461</v>
      </c>
      <c r="AH83" s="304">
        <f t="shared" ca="1" si="57"/>
        <v>8.6307222496814191</v>
      </c>
    </row>
    <row r="84" spans="1:34" x14ac:dyDescent="0.2">
      <c r="A84" s="347">
        <f t="shared" ca="1" si="35"/>
        <v>0.01</v>
      </c>
      <c r="B84" s="304">
        <f t="shared" ca="1" si="36"/>
        <v>7.3999999999999826</v>
      </c>
      <c r="D84" s="306">
        <f t="shared" ca="1" si="37"/>
        <v>1.2103590382361211</v>
      </c>
      <c r="E84" s="307">
        <f t="shared" ca="1" si="38"/>
        <v>-2.9122163881465424</v>
      </c>
      <c r="F84" s="304">
        <f t="shared" ca="1" si="39"/>
        <v>3.1537237185316602</v>
      </c>
      <c r="G84" s="306">
        <f t="shared" ca="1" si="40"/>
        <v>26.093679321053255</v>
      </c>
      <c r="H84" s="307">
        <f t="shared" ca="1" si="41"/>
        <v>148.60864560832894</v>
      </c>
      <c r="I84" s="304">
        <f t="shared" ca="1" si="42"/>
        <v>150.88210513527397</v>
      </c>
      <c r="J84" s="306">
        <f t="shared" ca="1" si="43"/>
        <v>130.35250822245899</v>
      </c>
      <c r="K84" s="307">
        <f t="shared" ca="1" si="44"/>
        <v>1043.4309655646043</v>
      </c>
      <c r="L84" s="304">
        <f t="shared" ca="1" si="29"/>
        <v>1051.5417044981948</v>
      </c>
      <c r="M84" s="306">
        <f t="shared" ca="1" si="45"/>
        <v>1.3969815968026946</v>
      </c>
      <c r="N84" s="304">
        <f t="shared" ca="1" si="46"/>
        <v>80.04114955424086</v>
      </c>
      <c r="P84" s="310">
        <f t="shared" ca="1" si="47"/>
        <v>6</v>
      </c>
      <c r="Q84" s="304">
        <f t="shared" ca="1" si="48"/>
        <v>65.333333333344655</v>
      </c>
      <c r="R84" s="306">
        <f t="shared" ca="1" si="49"/>
        <v>3.4675652906492944E-2</v>
      </c>
      <c r="S84" s="307">
        <f t="shared" ca="1" si="50"/>
        <v>4.0878454085930951</v>
      </c>
      <c r="T84" s="304">
        <f t="shared" ca="1" si="30"/>
        <v>40.101763458298265</v>
      </c>
      <c r="U84" s="311">
        <f t="shared" ca="1" si="31"/>
        <v>0</v>
      </c>
      <c r="V84" s="306">
        <f t="shared" ca="1" si="32"/>
        <v>1.1035176300472784</v>
      </c>
      <c r="W84" s="304">
        <f t="shared" ca="1" si="33"/>
        <v>36.687055509915112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1043.4309655646043</v>
      </c>
      <c r="AG84" s="306">
        <f t="shared" ca="1" si="56"/>
        <v>-2.6592057468185892</v>
      </c>
      <c r="AH84" s="304">
        <f t="shared" ca="1" si="57"/>
        <v>7.0031698363950881</v>
      </c>
    </row>
    <row r="85" spans="1:34" x14ac:dyDescent="0.2">
      <c r="A85" s="347">
        <f t="shared" ca="1" si="35"/>
        <v>0.01</v>
      </c>
      <c r="B85" s="304">
        <f t="shared" ca="1" si="36"/>
        <v>7.4099999999999824</v>
      </c>
      <c r="D85" s="306">
        <f t="shared" ca="1" si="37"/>
        <v>0.99693457261042784</v>
      </c>
      <c r="E85" s="307">
        <f t="shared" ca="1" si="38"/>
        <v>-4.1322611586163331</v>
      </c>
      <c r="F85" s="304">
        <f t="shared" ca="1" si="39"/>
        <v>4.2508188417145156</v>
      </c>
      <c r="G85" s="306">
        <f t="shared" ca="1" si="40"/>
        <v>26.10364866677936</v>
      </c>
      <c r="H85" s="307">
        <f t="shared" ca="1" si="41"/>
        <v>148.56732299674277</v>
      </c>
      <c r="I85" s="304">
        <f t="shared" ca="1" si="42"/>
        <v>150.84313022520166</v>
      </c>
      <c r="J85" s="306">
        <f t="shared" ca="1" si="43"/>
        <v>130.61349486239817</v>
      </c>
      <c r="K85" s="307">
        <f t="shared" ca="1" si="44"/>
        <v>1044.9168454076296</v>
      </c>
      <c r="L85" s="304">
        <f t="shared" ca="1" si="29"/>
        <v>1053.0484788730298</v>
      </c>
      <c r="M85" s="306">
        <f t="shared" ca="1" si="45"/>
        <v>1.3968691256727774</v>
      </c>
      <c r="N85" s="304">
        <f t="shared" ca="1" si="46"/>
        <v>80.034705433179539</v>
      </c>
      <c r="P85" s="310">
        <f t="shared" ca="1" si="47"/>
        <v>7</v>
      </c>
      <c r="Q85" s="304">
        <f t="shared" ca="1" si="48"/>
        <v>60.250000000006018</v>
      </c>
      <c r="R85" s="306">
        <f t="shared" ca="1" si="49"/>
        <v>3.1977674810449698E-2</v>
      </c>
      <c r="S85" s="307">
        <f t="shared" ca="1" si="50"/>
        <v>4.0875256318449908</v>
      </c>
      <c r="T85" s="304">
        <f t="shared" ca="1" si="30"/>
        <v>40.098626448399365</v>
      </c>
      <c r="U85" s="311">
        <f t="shared" ca="1" si="31"/>
        <v>0</v>
      </c>
      <c r="V85" s="306">
        <f t="shared" ca="1" si="32"/>
        <v>1.103353224673951</v>
      </c>
      <c r="W85" s="304">
        <f t="shared" ca="1" si="33"/>
        <v>36.662641497702396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1044.9168454076296</v>
      </c>
      <c r="AG85" s="306">
        <f t="shared" ca="1" si="56"/>
        <v>-3.897586413662955</v>
      </c>
      <c r="AH85" s="304">
        <f t="shared" ca="1" si="57"/>
        <v>5.764598589062615</v>
      </c>
    </row>
    <row r="86" spans="1:34" x14ac:dyDescent="0.2">
      <c r="A86" s="347">
        <f t="shared" ca="1" si="35"/>
        <v>0.01</v>
      </c>
      <c r="B86" s="304">
        <f t="shared" ca="1" si="36"/>
        <v>7.4199999999999822</v>
      </c>
      <c r="D86" s="306">
        <f t="shared" ca="1" si="37"/>
        <v>0.85049159171355793</v>
      </c>
      <c r="E86" s="307">
        <f t="shared" ca="1" si="38"/>
        <v>-4.9694790205352684</v>
      </c>
      <c r="F86" s="304">
        <f t="shared" ca="1" si="39"/>
        <v>5.0417316155380218</v>
      </c>
      <c r="G86" s="306">
        <f t="shared" ca="1" si="40"/>
        <v>26.112153582696497</v>
      </c>
      <c r="H86" s="307">
        <f t="shared" ca="1" si="41"/>
        <v>148.51762820653741</v>
      </c>
      <c r="I86" s="304">
        <f t="shared" ca="1" si="42"/>
        <v>150.79565793756001</v>
      </c>
      <c r="J86" s="306">
        <f t="shared" ca="1" si="43"/>
        <v>130.87457387364555</v>
      </c>
      <c r="K86" s="307">
        <f t="shared" ca="1" si="44"/>
        <v>1046.4022701636459</v>
      </c>
      <c r="L86" s="304">
        <f t="shared" ca="1" si="29"/>
        <v>1054.554818437733</v>
      </c>
      <c r="M86" s="306">
        <f t="shared" ca="1" si="45"/>
        <v>1.3967565470707786</v>
      </c>
      <c r="N86" s="304">
        <f t="shared" ca="1" si="46"/>
        <v>80.028255154421515</v>
      </c>
      <c r="P86" s="310">
        <f t="shared" ca="1" si="47"/>
        <v>7</v>
      </c>
      <c r="Q86" s="304">
        <f t="shared" ca="1" si="48"/>
        <v>56.750000000006082</v>
      </c>
      <c r="R86" s="306">
        <f t="shared" ca="1" si="49"/>
        <v>3.0120050547602212E-2</v>
      </c>
      <c r="S86" s="307">
        <f t="shared" ca="1" si="50"/>
        <v>4.0872244313395152</v>
      </c>
      <c r="T86" s="304">
        <f t="shared" ca="1" si="30"/>
        <v>40.095671671440648</v>
      </c>
      <c r="U86" s="311">
        <f t="shared" ca="1" si="31"/>
        <v>0</v>
      </c>
      <c r="V86" s="306">
        <f t="shared" ca="1" si="32"/>
        <v>1.1031888928572211</v>
      </c>
      <c r="W86" s="304">
        <f t="shared" ca="1" si="33"/>
        <v>36.63411166843504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1046.4022701636459</v>
      </c>
      <c r="AG86" s="306">
        <f t="shared" ca="1" si="56"/>
        <v>-4.7473243229317381</v>
      </c>
      <c r="AH86" s="304">
        <f t="shared" ca="1" si="57"/>
        <v>4.9146698058174438</v>
      </c>
    </row>
    <row r="87" spans="1:34" x14ac:dyDescent="0.2">
      <c r="A87" s="347">
        <f t="shared" ca="1" si="35"/>
        <v>0.01</v>
      </c>
      <c r="B87" s="304">
        <f t="shared" ca="1" si="36"/>
        <v>7.429999999999982</v>
      </c>
      <c r="D87" s="306">
        <f t="shared" ca="1" si="37"/>
        <v>0.70401022336073782</v>
      </c>
      <c r="E87" s="307">
        <f t="shared" ca="1" si="38"/>
        <v>-5.8058136629535646</v>
      </c>
      <c r="F87" s="304">
        <f t="shared" ca="1" si="39"/>
        <v>5.8483418747141247</v>
      </c>
      <c r="G87" s="306">
        <f t="shared" ca="1" si="40"/>
        <v>26.119193684930103</v>
      </c>
      <c r="H87" s="307">
        <f t="shared" ca="1" si="41"/>
        <v>148.45957006990787</v>
      </c>
      <c r="I87" s="304">
        <f t="shared" ca="1" si="42"/>
        <v>150.73969690858735</v>
      </c>
      <c r="J87" s="306">
        <f t="shared" ca="1" si="43"/>
        <v>131.13573060998368</v>
      </c>
      <c r="K87" s="307">
        <f t="shared" ca="1" si="44"/>
        <v>1047.8871561550282</v>
      </c>
      <c r="L87" s="304">
        <f t="shared" ca="1" si="29"/>
        <v>1056.0606383524037</v>
      </c>
      <c r="M87" s="306">
        <f t="shared" ca="1" si="45"/>
        <v>1.3966438545157522</v>
      </c>
      <c r="N87" s="304">
        <f t="shared" ca="1" si="46"/>
        <v>80.021798346635961</v>
      </c>
      <c r="P87" s="310">
        <f t="shared" ca="1" si="47"/>
        <v>7</v>
      </c>
      <c r="Q87" s="304">
        <f t="shared" ca="1" si="48"/>
        <v>53.250000000006153</v>
      </c>
      <c r="R87" s="306">
        <f t="shared" ca="1" si="49"/>
        <v>2.8262426284754737E-2</v>
      </c>
      <c r="S87" s="307">
        <f t="shared" ca="1" si="50"/>
        <v>4.0869418070766672</v>
      </c>
      <c r="T87" s="304">
        <f t="shared" ca="1" si="30"/>
        <v>40.092899127422108</v>
      </c>
      <c r="U87" s="311">
        <f t="shared" ca="1" si="31"/>
        <v>0</v>
      </c>
      <c r="V87" s="306">
        <f t="shared" ca="1" si="32"/>
        <v>1.1030246438261118</v>
      </c>
      <c r="W87" s="304">
        <f t="shared" ca="1" si="33"/>
        <v>36.601476259314829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1047.8871561550282</v>
      </c>
      <c r="AG87" s="306">
        <f t="shared" ca="1" si="56"/>
        <v>-5.5961986140490545</v>
      </c>
      <c r="AH87" s="304">
        <f t="shared" ca="1" si="57"/>
        <v>4.0656043359365146</v>
      </c>
    </row>
    <row r="88" spans="1:34" x14ac:dyDescent="0.2">
      <c r="A88" s="347">
        <f t="shared" ca="1" si="35"/>
        <v>0.01</v>
      </c>
      <c r="B88" s="304">
        <f t="shared" ca="1" si="36"/>
        <v>7.4399999999999817</v>
      </c>
      <c r="D88" s="306">
        <f t="shared" ca="1" si="37"/>
        <v>0.55749211441110513</v>
      </c>
      <c r="E88" s="307">
        <f t="shared" ca="1" si="38"/>
        <v>-6.6412559483568909</v>
      </c>
      <c r="F88" s="304">
        <f t="shared" ca="1" si="39"/>
        <v>6.6646138694763364</v>
      </c>
      <c r="G88" s="306">
        <f t="shared" ca="1" si="40"/>
        <v>26.124768606074213</v>
      </c>
      <c r="H88" s="307">
        <f t="shared" ca="1" si="41"/>
        <v>148.39315751042429</v>
      </c>
      <c r="I88" s="304">
        <f t="shared" ca="1" si="42"/>
        <v>150.67525586716127</v>
      </c>
      <c r="J88" s="306">
        <f t="shared" ca="1" si="43"/>
        <v>131.3969504214387</v>
      </c>
      <c r="K88" s="307">
        <f t="shared" ca="1" si="44"/>
        <v>1049.3714197929298</v>
      </c>
      <c r="L88" s="304">
        <f t="shared" ca="1" si="29"/>
        <v>1057.565853863618</v>
      </c>
      <c r="M88" s="306">
        <f t="shared" ca="1" si="45"/>
        <v>1.3965310415026566</v>
      </c>
      <c r="N88" s="304">
        <f t="shared" ca="1" si="46"/>
        <v>80.015334637111437</v>
      </c>
      <c r="P88" s="310">
        <f t="shared" ca="1" si="47"/>
        <v>7</v>
      </c>
      <c r="Q88" s="304">
        <f t="shared" ca="1" si="48"/>
        <v>49.750000000006224</v>
      </c>
      <c r="R88" s="306">
        <f t="shared" ca="1" si="49"/>
        <v>2.6404802021907259E-2</v>
      </c>
      <c r="S88" s="307">
        <f t="shared" ca="1" si="50"/>
        <v>4.0866777590564478</v>
      </c>
      <c r="T88" s="304">
        <f t="shared" ca="1" si="30"/>
        <v>40.090308816343757</v>
      </c>
      <c r="U88" s="311">
        <f t="shared" ca="1" si="31"/>
        <v>0</v>
      </c>
      <c r="V88" s="306">
        <f t="shared" ca="1" si="32"/>
        <v>1.1028604867946235</v>
      </c>
      <c r="W88" s="304">
        <f t="shared" ca="1" si="33"/>
        <v>36.564746235069983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1049.3714197929298</v>
      </c>
      <c r="AG88" s="306">
        <f t="shared" ca="1" si="56"/>
        <v>-6.4442000231182544</v>
      </c>
      <c r="AH88" s="304">
        <f t="shared" ca="1" si="57"/>
        <v>3.2174114319518039</v>
      </c>
    </row>
    <row r="89" spans="1:34" x14ac:dyDescent="0.2">
      <c r="A89" s="347">
        <f t="shared" ca="1" si="35"/>
        <v>0.01</v>
      </c>
      <c r="B89" s="304">
        <f t="shared" ca="1" si="36"/>
        <v>7.4499999999999815</v>
      </c>
      <c r="D89" s="306">
        <f t="shared" ca="1" si="37"/>
        <v>0.41093886025421694</v>
      </c>
      <c r="E89" s="307">
        <f t="shared" ca="1" si="38"/>
        <v>-7.4757969325447036</v>
      </c>
      <c r="F89" s="304">
        <f t="shared" ca="1" si="39"/>
        <v>7.4870829114890824</v>
      </c>
      <c r="G89" s="306">
        <f t="shared" ca="1" si="40"/>
        <v>26.128877994676756</v>
      </c>
      <c r="H89" s="307">
        <f t="shared" ca="1" si="41"/>
        <v>148.31839954109884</v>
      </c>
      <c r="I89" s="304">
        <f t="shared" ca="1" si="42"/>
        <v>150.60234363280583</v>
      </c>
      <c r="J89" s="306">
        <f t="shared" ca="1" si="43"/>
        <v>131.65821865444246</v>
      </c>
      <c r="K89" s="307">
        <f t="shared" ca="1" si="44"/>
        <v>1050.8549775781873</v>
      </c>
      <c r="L89" s="304">
        <f t="shared" ca="1" si="29"/>
        <v>1059.0703803053477</v>
      </c>
      <c r="M89" s="306">
        <f t="shared" ca="1" si="45"/>
        <v>1.3964181015001975</v>
      </c>
      <c r="N89" s="304">
        <f t="shared" ca="1" si="46"/>
        <v>80.008863651632325</v>
      </c>
      <c r="P89" s="310">
        <f t="shared" ca="1" si="47"/>
        <v>8</v>
      </c>
      <c r="Q89" s="304">
        <f t="shared" ca="1" si="48"/>
        <v>46.250000000006295</v>
      </c>
      <c r="R89" s="306">
        <f t="shared" ca="1" si="49"/>
        <v>2.4547177759059784E-2</v>
      </c>
      <c r="S89" s="307">
        <f t="shared" ca="1" si="50"/>
        <v>4.086432287278857</v>
      </c>
      <c r="T89" s="304">
        <f t="shared" ca="1" si="30"/>
        <v>40.08790073820559</v>
      </c>
      <c r="U89" s="311">
        <f t="shared" ca="1" si="31"/>
        <v>0</v>
      </c>
      <c r="V89" s="306">
        <f t="shared" ca="1" si="32"/>
        <v>1.1026964309616487</v>
      </c>
      <c r="W89" s="304">
        <f t="shared" ca="1" si="33"/>
        <v>36.523933283634904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1050.8549775781873</v>
      </c>
      <c r="AG89" s="306">
        <f t="shared" ca="1" si="56"/>
        <v>-7.2913194855314369</v>
      </c>
      <c r="AH89" s="304">
        <f t="shared" ca="1" si="57"/>
        <v>2.3701001470369878</v>
      </c>
    </row>
    <row r="90" spans="1:34" x14ac:dyDescent="0.2">
      <c r="A90" s="347">
        <f t="shared" ca="1" si="35"/>
        <v>0.01</v>
      </c>
      <c r="B90" s="304">
        <f t="shared" ca="1" si="36"/>
        <v>7.4599999999999813</v>
      </c>
      <c r="D90" s="306">
        <f t="shared" ca="1" si="37"/>
        <v>0.26435200477143206</v>
      </c>
      <c r="E90" s="307">
        <f t="shared" ca="1" si="38"/>
        <v>-8.3094278640220356</v>
      </c>
      <c r="F90" s="304">
        <f t="shared" ca="1" si="39"/>
        <v>8.3136317821883647</v>
      </c>
      <c r="G90" s="306">
        <f t="shared" ca="1" si="40"/>
        <v>26.131521514724472</v>
      </c>
      <c r="H90" s="307">
        <f t="shared" ca="1" si="41"/>
        <v>148.23530526245861</v>
      </c>
      <c r="I90" s="304">
        <f t="shared" ca="1" si="42"/>
        <v>150.52096911370455</v>
      </c>
      <c r="J90" s="306">
        <f t="shared" ca="1" si="43"/>
        <v>131.91952065198947</v>
      </c>
      <c r="K90" s="307">
        <f t="shared" ca="1" si="44"/>
        <v>1052.3377461022051</v>
      </c>
      <c r="L90" s="304">
        <f t="shared" ca="1" si="29"/>
        <v>1060.5741330998601</v>
      </c>
      <c r="M90" s="306">
        <f t="shared" ca="1" si="45"/>
        <v>1.3963050279486542</v>
      </c>
      <c r="N90" s="304">
        <f t="shared" ca="1" si="46"/>
        <v>80.002385014354346</v>
      </c>
      <c r="P90" s="310">
        <f t="shared" ca="1" si="47"/>
        <v>8</v>
      </c>
      <c r="Q90" s="304">
        <f t="shared" ca="1" si="48"/>
        <v>42.750000000006374</v>
      </c>
      <c r="R90" s="306">
        <f t="shared" ca="1" si="49"/>
        <v>2.2689553496212312E-2</v>
      </c>
      <c r="S90" s="307">
        <f t="shared" ca="1" si="50"/>
        <v>4.0862053917438947</v>
      </c>
      <c r="T90" s="304">
        <f t="shared" ca="1" si="30"/>
        <v>40.085674893007607</v>
      </c>
      <c r="U90" s="311">
        <f t="shared" ca="1" si="31"/>
        <v>0</v>
      </c>
      <c r="V90" s="306">
        <f t="shared" ca="1" si="32"/>
        <v>1.1025324855108902</v>
      </c>
      <c r="W90" s="304">
        <f t="shared" ca="1" si="33"/>
        <v>36.479049811806775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1052.3377461022051</v>
      </c>
      <c r="AG90" s="306">
        <f t="shared" ca="1" si="56"/>
        <v>-8.1375481353842609</v>
      </c>
      <c r="AH90" s="304">
        <f t="shared" ca="1" si="57"/>
        <v>1.5236793355887412</v>
      </c>
    </row>
    <row r="91" spans="1:34" x14ac:dyDescent="0.2">
      <c r="A91" s="347">
        <f t="shared" ca="1" si="35"/>
        <v>0.01</v>
      </c>
      <c r="B91" s="304">
        <f t="shared" ca="1" si="36"/>
        <v>7.4699999999999811</v>
      </c>
      <c r="D91" s="306">
        <f t="shared" ca="1" si="37"/>
        <v>0.11773304029142223</v>
      </c>
      <c r="E91" s="307">
        <f t="shared" ca="1" si="38"/>
        <v>-9.142140183370401</v>
      </c>
      <c r="F91" s="304">
        <f t="shared" ca="1" si="39"/>
        <v>9.1428982385878079</v>
      </c>
      <c r="G91" s="306">
        <f t="shared" ca="1" si="40"/>
        <v>26.132698845127386</v>
      </c>
      <c r="H91" s="307">
        <f t="shared" ca="1" si="41"/>
        <v>148.1438838606249</v>
      </c>
      <c r="I91" s="304">
        <f t="shared" ca="1" si="42"/>
        <v>150.43114130471935</v>
      </c>
      <c r="J91" s="306">
        <f t="shared" ca="1" si="43"/>
        <v>132.18084175378874</v>
      </c>
      <c r="K91" s="307">
        <f t="shared" ca="1" si="44"/>
        <v>1053.8196420478205</v>
      </c>
      <c r="L91" s="304">
        <f t="shared" ca="1" si="29"/>
        <v>1062.0770277585975</v>
      </c>
      <c r="M91" s="306">
        <f t="shared" ca="1" si="45"/>
        <v>1.3961918142576855</v>
      </c>
      <c r="N91" s="304">
        <f t="shared" ca="1" si="46"/>
        <v>79.995898347678732</v>
      </c>
      <c r="P91" s="310">
        <f t="shared" ca="1" si="47"/>
        <v>8</v>
      </c>
      <c r="Q91" s="304">
        <f t="shared" ca="1" si="48"/>
        <v>39.250000000006452</v>
      </c>
      <c r="R91" s="306">
        <f t="shared" ca="1" si="49"/>
        <v>2.0831929233364837E-2</v>
      </c>
      <c r="S91" s="307">
        <f t="shared" ca="1" si="50"/>
        <v>4.0859970724515611</v>
      </c>
      <c r="T91" s="304">
        <f t="shared" ca="1" si="30"/>
        <v>40.083631280749813</v>
      </c>
      <c r="U91" s="311">
        <f t="shared" ca="1" si="31"/>
        <v>0</v>
      </c>
      <c r="V91" s="306">
        <f t="shared" ca="1" si="32"/>
        <v>1.1023686596107827</v>
      </c>
      <c r="W91" s="304">
        <f t="shared" ca="1" si="33"/>
        <v>36.430108940880778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1053.8196420478205</v>
      </c>
      <c r="AG91" s="306">
        <f t="shared" ca="1" si="56"/>
        <v>-8.9828773048713053</v>
      </c>
      <c r="AH91" s="304">
        <f t="shared" ca="1" si="57"/>
        <v>0.67815765382747384</v>
      </c>
    </row>
    <row r="92" spans="1:34" x14ac:dyDescent="0.2">
      <c r="A92" s="347">
        <f t="shared" ca="1" si="35"/>
        <v>0.01</v>
      </c>
      <c r="B92" s="304">
        <f t="shared" ca="1" si="36"/>
        <v>7.4799999999999809</v>
      </c>
      <c r="D92" s="306">
        <f t="shared" ca="1" si="37"/>
        <v>-2.891659246035086E-2</v>
      </c>
      <c r="E92" s="307">
        <f t="shared" ca="1" si="38"/>
        <v>-9.9739255225982912</v>
      </c>
      <c r="F92" s="304">
        <f t="shared" ca="1" si="39"/>
        <v>9.9739674402745635</v>
      </c>
      <c r="G92" s="306">
        <f t="shared" ca="1" si="40"/>
        <v>26.132409679202784</v>
      </c>
      <c r="H92" s="307">
        <f t="shared" ca="1" si="41"/>
        <v>148.04414460539891</v>
      </c>
      <c r="I92" s="304">
        <f t="shared" ca="1" si="42"/>
        <v>150.33286928541594</v>
      </c>
      <c r="J92" s="306">
        <f t="shared" ca="1" si="43"/>
        <v>132.44216729641039</v>
      </c>
      <c r="K92" s="307">
        <f t="shared" ca="1" si="44"/>
        <v>1055.3005821901506</v>
      </c>
      <c r="L92" s="304">
        <f t="shared" ca="1" si="29"/>
        <v>1063.5789798830367</v>
      </c>
      <c r="M92" s="306">
        <f t="shared" ca="1" si="45"/>
        <v>1.3960784538041138</v>
      </c>
      <c r="N92" s="304">
        <f t="shared" ca="1" si="46"/>
        <v>79.989403272125386</v>
      </c>
      <c r="P92" s="310">
        <f t="shared" ca="1" si="47"/>
        <v>8</v>
      </c>
      <c r="Q92" s="304">
        <f t="shared" ca="1" si="48"/>
        <v>35.750000000006523</v>
      </c>
      <c r="R92" s="306">
        <f t="shared" ca="1" si="49"/>
        <v>1.8974304970517362E-2</v>
      </c>
      <c r="S92" s="307">
        <f t="shared" ca="1" si="50"/>
        <v>4.085807329401856</v>
      </c>
      <c r="T92" s="304">
        <f t="shared" ca="1" si="30"/>
        <v>40.08176990143221</v>
      </c>
      <c r="U92" s="311">
        <f t="shared" ca="1" si="31"/>
        <v>0</v>
      </c>
      <c r="V92" s="306">
        <f t="shared" ca="1" si="32"/>
        <v>1.1022049624144135</v>
      </c>
      <c r="W92" s="304">
        <f t="shared" ca="1" si="33"/>
        <v>36.377124502265296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1055.3005821901506</v>
      </c>
      <c r="AG92" s="306">
        <f t="shared" ca="1" si="56"/>
        <v>-9.8272985236623942</v>
      </c>
      <c r="AH92" s="304">
        <f t="shared" ca="1" si="57"/>
        <v>-0.16645643958297476</v>
      </c>
    </row>
    <row r="93" spans="1:34" x14ac:dyDescent="0.2">
      <c r="A93" s="347">
        <f t="shared" ca="1" si="35"/>
        <v>0.01</v>
      </c>
      <c r="B93" s="304">
        <f t="shared" ca="1" si="36"/>
        <v>7.4899999999999807</v>
      </c>
      <c r="D93" s="306">
        <f t="shared" ca="1" si="37"/>
        <v>-0.15432225751979464</v>
      </c>
      <c r="E93" s="307">
        <f t="shared" ca="1" si="38"/>
        <v>-10.684259468933487</v>
      </c>
      <c r="F93" s="304">
        <f t="shared" ca="1" si="39"/>
        <v>10.685373917587576</v>
      </c>
      <c r="G93" s="306">
        <f t="shared" ca="1" si="40"/>
        <v>26.130866456627587</v>
      </c>
      <c r="H93" s="307">
        <f t="shared" ca="1" si="41"/>
        <v>147.93730201070957</v>
      </c>
      <c r="I93" s="304">
        <f t="shared" ca="1" si="42"/>
        <v>150.22738601194521</v>
      </c>
      <c r="J93" s="306">
        <f t="shared" ca="1" si="43"/>
        <v>132.70348367708954</v>
      </c>
      <c r="K93" s="307">
        <f t="shared" ca="1" si="44"/>
        <v>1056.7804894232311</v>
      </c>
      <c r="L93" s="304">
        <f t="shared" ca="1" si="29"/>
        <v>1065.0799112769141</v>
      </c>
      <c r="M93" s="306">
        <f t="shared" ca="1" si="45"/>
        <v>1.3959649408544004</v>
      </c>
      <c r="N93" s="304">
        <f t="shared" ca="1" si="46"/>
        <v>79.982899459186726</v>
      </c>
      <c r="P93" s="310">
        <f t="shared" ca="1" si="47"/>
        <v>9</v>
      </c>
      <c r="Q93" s="304">
        <f t="shared" ca="1" si="48"/>
        <v>32.750000000004718</v>
      </c>
      <c r="R93" s="306">
        <f t="shared" ca="1" si="49"/>
        <v>1.738205560236139E-2</v>
      </c>
      <c r="S93" s="307">
        <f t="shared" ca="1" si="50"/>
        <v>4.0856335088458327</v>
      </c>
      <c r="T93" s="304">
        <f t="shared" ca="1" si="30"/>
        <v>40.080064721777617</v>
      </c>
      <c r="U93" s="311">
        <f t="shared" ca="1" si="31"/>
        <v>0</v>
      </c>
      <c r="V93" s="306">
        <f t="shared" ca="1" si="32"/>
        <v>1.1020414023935226</v>
      </c>
      <c r="W93" s="304">
        <f t="shared" ca="1" si="33"/>
        <v>36.320702765708504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1056.7804894232311</v>
      </c>
      <c r="AG93" s="306">
        <f t="shared" ca="1" si="56"/>
        <v>-10.548424132488481</v>
      </c>
      <c r="AH93" s="304">
        <f t="shared" ca="1" si="57"/>
        <v>-0.88777529712527237</v>
      </c>
    </row>
    <row r="94" spans="1:34" x14ac:dyDescent="0.2">
      <c r="A94" s="347">
        <f t="shared" ca="1" si="35"/>
        <v>0.01</v>
      </c>
      <c r="B94" s="304">
        <f t="shared" ca="1" si="36"/>
        <v>7.4999999999999805</v>
      </c>
      <c r="D94" s="306">
        <f t="shared" ca="1" si="37"/>
        <v>-0.25846475467401925</v>
      </c>
      <c r="E94" s="307">
        <f t="shared" ca="1" si="38"/>
        <v>-11.273272507048322</v>
      </c>
      <c r="F94" s="304">
        <f t="shared" ca="1" si="39"/>
        <v>11.276235056417557</v>
      </c>
      <c r="G94" s="306">
        <f t="shared" ca="1" si="40"/>
        <v>26.128281809080846</v>
      </c>
      <c r="H94" s="307">
        <f t="shared" ca="1" si="41"/>
        <v>147.82456928563909</v>
      </c>
      <c r="I94" s="304">
        <f t="shared" ca="1" si="42"/>
        <v>150.11592318864595</v>
      </c>
      <c r="J94" s="306">
        <f t="shared" ca="1" si="43"/>
        <v>132.96477941841809</v>
      </c>
      <c r="K94" s="307">
        <f t="shared" ca="1" si="44"/>
        <v>1058.2592987797127</v>
      </c>
      <c r="L94" s="304">
        <f t="shared" ca="1" si="29"/>
        <v>1066.5797560518004</v>
      </c>
      <c r="M94" s="306">
        <f t="shared" ca="1" si="45"/>
        <v>1.3958512705699349</v>
      </c>
      <c r="N94" s="304">
        <f t="shared" ca="1" si="46"/>
        <v>79.976386631630803</v>
      </c>
      <c r="P94" s="310">
        <f t="shared" ca="1" si="47"/>
        <v>9</v>
      </c>
      <c r="Q94" s="304">
        <f t="shared" ca="1" si="48"/>
        <v>30.250000000004775</v>
      </c>
      <c r="R94" s="306">
        <f t="shared" ca="1" si="49"/>
        <v>1.6055181128898911E-2</v>
      </c>
      <c r="S94" s="307">
        <f t="shared" ca="1" si="50"/>
        <v>4.0854729570345434</v>
      </c>
      <c r="T94" s="304">
        <f t="shared" ca="1" si="30"/>
        <v>40.078489708508876</v>
      </c>
      <c r="U94" s="311">
        <f t="shared" ca="1" si="31"/>
        <v>0</v>
      </c>
      <c r="V94" s="306">
        <f t="shared" ca="1" si="32"/>
        <v>1.10187798667383</v>
      </c>
      <c r="W94" s="304">
        <f t="shared" ca="1" si="33"/>
        <v>36.261447878938718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1058.2592987797127</v>
      </c>
      <c r="AG94" s="306">
        <f t="shared" ca="1" si="56"/>
        <v>-11.146379311820168</v>
      </c>
      <c r="AH94" s="304">
        <f t="shared" ca="1" si="57"/>
        <v>-1.4859241095332503</v>
      </c>
    </row>
    <row r="95" spans="1:34" x14ac:dyDescent="0.2">
      <c r="A95" s="347">
        <f t="shared" ca="1" si="35"/>
        <v>0.01</v>
      </c>
      <c r="B95" s="304">
        <f t="shared" ca="1" si="36"/>
        <v>7.5099999999999802</v>
      </c>
      <c r="D95" s="306">
        <f t="shared" ca="1" si="37"/>
        <v>-0.36262759593501082</v>
      </c>
      <c r="E95" s="307">
        <f t="shared" ca="1" si="38"/>
        <v>-11.861618570707137</v>
      </c>
      <c r="F95" s="304">
        <f t="shared" ca="1" si="39"/>
        <v>11.867160312824549</v>
      </c>
      <c r="G95" s="306">
        <f t="shared" ca="1" si="40"/>
        <v>26.124655533121498</v>
      </c>
      <c r="H95" s="307">
        <f t="shared" ca="1" si="41"/>
        <v>147.705953099932</v>
      </c>
      <c r="I95" s="304">
        <f t="shared" ca="1" si="42"/>
        <v>149.99848735198489</v>
      </c>
      <c r="J95" s="306">
        <f t="shared" ca="1" si="43"/>
        <v>133.22604410512909</v>
      </c>
      <c r="K95" s="307">
        <f t="shared" ca="1" si="44"/>
        <v>1059.7369513916406</v>
      </c>
      <c r="L95" s="304">
        <f t="shared" ca="1" si="29"/>
        <v>1068.0784545026411</v>
      </c>
      <c r="M95" s="306">
        <f t="shared" ca="1" si="45"/>
        <v>1.3957374380843555</v>
      </c>
      <c r="N95" s="304">
        <f t="shared" ca="1" si="46"/>
        <v>79.969864510635617</v>
      </c>
      <c r="P95" s="310">
        <f t="shared" ca="1" si="47"/>
        <v>9</v>
      </c>
      <c r="Q95" s="304">
        <f t="shared" ca="1" si="48"/>
        <v>27.750000000004832</v>
      </c>
      <c r="R95" s="306">
        <f t="shared" ca="1" si="49"/>
        <v>1.4728306655436429E-2</v>
      </c>
      <c r="S95" s="307">
        <f t="shared" ca="1" si="50"/>
        <v>4.0853256739679891</v>
      </c>
      <c r="T95" s="304">
        <f t="shared" ca="1" si="30"/>
        <v>40.077044861625971</v>
      </c>
      <c r="U95" s="311">
        <f t="shared" ca="1" si="31"/>
        <v>0</v>
      </c>
      <c r="V95" s="306">
        <f t="shared" ca="1" si="32"/>
        <v>1.1017147217032095</v>
      </c>
      <c r="W95" s="304">
        <f t="shared" ca="1" si="33"/>
        <v>36.199370890879358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1059.7369513916406</v>
      </c>
      <c r="AG95" s="306">
        <f t="shared" ca="1" si="56"/>
        <v>-11.743680848888108</v>
      </c>
      <c r="AH95" s="304">
        <f t="shared" ca="1" si="57"/>
        <v>-2.0834196727985459</v>
      </c>
    </row>
    <row r="96" spans="1:34" x14ac:dyDescent="0.2">
      <c r="A96" s="347">
        <f t="shared" ca="1" si="35"/>
        <v>0.01</v>
      </c>
      <c r="B96" s="304">
        <f t="shared" ca="1" si="36"/>
        <v>7.51999999999998</v>
      </c>
      <c r="D96" s="306">
        <f t="shared" ca="1" si="37"/>
        <v>-0.46681029319999967</v>
      </c>
      <c r="E96" s="307">
        <f t="shared" ca="1" si="38"/>
        <v>-12.449294485109947</v>
      </c>
      <c r="F96" s="304">
        <f t="shared" ca="1" si="39"/>
        <v>12.458043386777332</v>
      </c>
      <c r="G96" s="306">
        <f t="shared" ca="1" si="40"/>
        <v>26.119987430189497</v>
      </c>
      <c r="H96" s="307">
        <f t="shared" ca="1" si="41"/>
        <v>147.58146015508089</v>
      </c>
      <c r="I96" s="304">
        <f t="shared" ca="1" si="42"/>
        <v>149.87508507039783</v>
      </c>
      <c r="J96" s="306">
        <f t="shared" ca="1" si="43"/>
        <v>133.48726731994566</v>
      </c>
      <c r="K96" s="307">
        <f t="shared" ca="1" si="44"/>
        <v>1061.2133884579157</v>
      </c>
      <c r="L96" s="304">
        <f t="shared" ca="1" si="29"/>
        <v>1069.5759469896834</v>
      </c>
      <c r="M96" s="306">
        <f t="shared" ca="1" si="45"/>
        <v>1.3956234385023352</v>
      </c>
      <c r="N96" s="304">
        <f t="shared" ca="1" si="46"/>
        <v>79.963332815719596</v>
      </c>
      <c r="P96" s="310">
        <f t="shared" ca="1" si="47"/>
        <v>9</v>
      </c>
      <c r="Q96" s="304">
        <f t="shared" ca="1" si="48"/>
        <v>25.250000000004885</v>
      </c>
      <c r="R96" s="306">
        <f t="shared" ca="1" si="49"/>
        <v>1.3401432181973948E-2</v>
      </c>
      <c r="S96" s="307">
        <f t="shared" ca="1" si="50"/>
        <v>4.0851916596461697</v>
      </c>
      <c r="T96" s="304">
        <f t="shared" ca="1" si="30"/>
        <v>40.075730181128925</v>
      </c>
      <c r="U96" s="311">
        <f t="shared" ca="1" si="31"/>
        <v>0</v>
      </c>
      <c r="V96" s="306">
        <f t="shared" ca="1" si="32"/>
        <v>1.1015516139185626</v>
      </c>
      <c r="W96" s="304">
        <f t="shared" ca="1" si="33"/>
        <v>36.134483190918083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1061.2133884579157</v>
      </c>
      <c r="AG96" s="306">
        <f t="shared" ca="1" si="56"/>
        <v>-12.34032554682001</v>
      </c>
      <c r="AH96" s="304">
        <f t="shared" ca="1" si="57"/>
        <v>-2.6802587988791768</v>
      </c>
    </row>
    <row r="97" spans="1:34" x14ac:dyDescent="0.2">
      <c r="A97" s="347">
        <f t="shared" ca="1" si="35"/>
        <v>0.01</v>
      </c>
      <c r="B97" s="304">
        <f t="shared" ca="1" si="36"/>
        <v>7.5299999999999798</v>
      </c>
      <c r="D97" s="306">
        <f t="shared" ca="1" si="37"/>
        <v>-0.56567969310586308</v>
      </c>
      <c r="E97" s="307">
        <f t="shared" ca="1" si="38"/>
        <v>-13.006166740576248</v>
      </c>
      <c r="F97" s="304">
        <f t="shared" ca="1" si="39"/>
        <v>13.01846253590892</v>
      </c>
      <c r="G97" s="306">
        <f t="shared" ca="1" si="40"/>
        <v>26.114330633258437</v>
      </c>
      <c r="H97" s="307">
        <f t="shared" ca="1" si="41"/>
        <v>147.45139848767514</v>
      </c>
      <c r="I97" s="304">
        <f t="shared" ca="1" si="42"/>
        <v>149.74602893030021</v>
      </c>
      <c r="J97" s="306">
        <f t="shared" ca="1" si="43"/>
        <v>133.74843891026291</v>
      </c>
      <c r="K97" s="307">
        <f t="shared" ca="1" si="44"/>
        <v>1062.6885527511295</v>
      </c>
      <c r="L97" s="304">
        <f t="shared" ca="1" si="29"/>
        <v>1071.0721754668182</v>
      </c>
      <c r="M97" s="306">
        <f t="shared" ca="1" si="45"/>
        <v>1.3955092671316467</v>
      </c>
      <c r="N97" s="304">
        <f t="shared" ca="1" si="46"/>
        <v>79.956791278037926</v>
      </c>
      <c r="P97" s="310">
        <f t="shared" ca="1" si="47"/>
        <v>10</v>
      </c>
      <c r="Q97" s="304">
        <f t="shared" ca="1" si="48"/>
        <v>22.875000000004444</v>
      </c>
      <c r="R97" s="306">
        <f t="shared" ca="1" si="49"/>
        <v>1.2140901432184329E-2</v>
      </c>
      <c r="S97" s="307">
        <f t="shared" ca="1" si="50"/>
        <v>4.0850702506318477</v>
      </c>
      <c r="T97" s="304">
        <f t="shared" ca="1" si="30"/>
        <v>40.074539158698428</v>
      </c>
      <c r="U97" s="311">
        <f t="shared" ca="1" si="31"/>
        <v>0</v>
      </c>
      <c r="V97" s="306">
        <f t="shared" ca="1" si="32"/>
        <v>1.101388669579402</v>
      </c>
      <c r="W97" s="304">
        <f t="shared" ca="1" si="33"/>
        <v>36.066943897542018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1062.6885527511295</v>
      </c>
      <c r="AG97" s="306">
        <f t="shared" ca="1" si="56"/>
        <v>-12.905711607500317</v>
      </c>
      <c r="AH97" s="304">
        <f t="shared" ca="1" si="57"/>
        <v>-3.2458396985615514</v>
      </c>
    </row>
    <row r="98" spans="1:34" x14ac:dyDescent="0.2">
      <c r="A98" s="347">
        <f t="shared" ca="1" si="35"/>
        <v>0.01</v>
      </c>
      <c r="B98" s="304">
        <f t="shared" ca="1" si="36"/>
        <v>7.5399999999999796</v>
      </c>
      <c r="D98" s="306">
        <f t="shared" ca="1" si="37"/>
        <v>-0.65923106251517249</v>
      </c>
      <c r="E98" s="307">
        <f t="shared" ca="1" si="38"/>
        <v>-13.532268185215568</v>
      </c>
      <c r="F98" s="304">
        <f t="shared" ca="1" si="39"/>
        <v>13.548316051464932</v>
      </c>
      <c r="G98" s="306">
        <f t="shared" ca="1" si="40"/>
        <v>26.107738322633285</v>
      </c>
      <c r="H98" s="307">
        <f t="shared" ca="1" si="41"/>
        <v>147.31607580582298</v>
      </c>
      <c r="I98" s="304">
        <f t="shared" ca="1" si="42"/>
        <v>149.61163120275802</v>
      </c>
      <c r="J98" s="306">
        <f t="shared" ca="1" si="43"/>
        <v>134.00954925504237</v>
      </c>
      <c r="K98" s="307">
        <f t="shared" ca="1" si="44"/>
        <v>1064.1623901225969</v>
      </c>
      <c r="L98" s="304">
        <f t="shared" ca="1" si="29"/>
        <v>1072.5670850081956</v>
      </c>
      <c r="M98" s="306">
        <f t="shared" ca="1" si="45"/>
        <v>1.3953949194840913</v>
      </c>
      <c r="N98" s="304">
        <f t="shared" ca="1" si="46"/>
        <v>79.950239640435754</v>
      </c>
      <c r="P98" s="310">
        <f t="shared" ca="1" si="47"/>
        <v>10</v>
      </c>
      <c r="Q98" s="304">
        <f t="shared" ca="1" si="48"/>
        <v>20.625000000004487</v>
      </c>
      <c r="R98" s="306">
        <f t="shared" ca="1" si="49"/>
        <v>1.0946714406068092E-2</v>
      </c>
      <c r="S98" s="307">
        <f t="shared" ca="1" si="50"/>
        <v>4.0849607834877872</v>
      </c>
      <c r="T98" s="304">
        <f t="shared" ca="1" si="30"/>
        <v>40.073465286015193</v>
      </c>
      <c r="U98" s="311">
        <f t="shared" ca="1" si="31"/>
        <v>0</v>
      </c>
      <c r="V98" s="306">
        <f t="shared" ca="1" si="32"/>
        <v>1.101225894601775</v>
      </c>
      <c r="W98" s="304">
        <f t="shared" ca="1" si="33"/>
        <v>35.996911670261007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1064.1623901225969</v>
      </c>
      <c r="AG98" s="306">
        <f t="shared" ca="1" si="56"/>
        <v>-13.439870565698278</v>
      </c>
      <c r="AH98" s="304">
        <f t="shared" ca="1" si="57"/>
        <v>-3.7801939151917678</v>
      </c>
    </row>
    <row r="99" spans="1:34" x14ac:dyDescent="0.2">
      <c r="A99" s="347">
        <f t="shared" ca="1" si="35"/>
        <v>0.01</v>
      </c>
      <c r="B99" s="304">
        <f t="shared" ca="1" si="36"/>
        <v>7.5499999999999794</v>
      </c>
      <c r="D99" s="306">
        <f t="shared" ca="1" si="37"/>
        <v>-0.75279961809361262</v>
      </c>
      <c r="E99" s="307">
        <f t="shared" ca="1" si="38"/>
        <v>-14.057763028539796</v>
      </c>
      <c r="F99" s="304">
        <f t="shared" ca="1" si="39"/>
        <v>14.077904980201502</v>
      </c>
      <c r="G99" s="306">
        <f t="shared" ca="1" si="40"/>
        <v>26.100210326452348</v>
      </c>
      <c r="H99" s="307">
        <f t="shared" ca="1" si="41"/>
        <v>147.17549817553757</v>
      </c>
      <c r="I99" s="304">
        <f t="shared" ca="1" si="42"/>
        <v>149.47189783468568</v>
      </c>
      <c r="J99" s="306">
        <f t="shared" ca="1" si="43"/>
        <v>134.27058899828779</v>
      </c>
      <c r="K99" s="307">
        <f t="shared" ca="1" si="44"/>
        <v>1065.6348479925036</v>
      </c>
      <c r="L99" s="304">
        <f t="shared" ca="1" si="29"/>
        <v>1074.060622276952</v>
      </c>
      <c r="M99" s="306">
        <f t="shared" ca="1" si="45"/>
        <v>1.3952803910421283</v>
      </c>
      <c r="N99" s="304">
        <f t="shared" ca="1" si="46"/>
        <v>79.94367764407707</v>
      </c>
      <c r="P99" s="310">
        <f t="shared" ca="1" si="47"/>
        <v>10</v>
      </c>
      <c r="Q99" s="304">
        <f t="shared" ca="1" si="48"/>
        <v>18.37500000000453</v>
      </c>
      <c r="R99" s="306">
        <f t="shared" ca="1" si="49"/>
        <v>9.7525273799518551E-3</v>
      </c>
      <c r="S99" s="307">
        <f t="shared" ca="1" si="50"/>
        <v>4.0848632582139874</v>
      </c>
      <c r="T99" s="304">
        <f t="shared" ca="1" si="30"/>
        <v>40.072508563079218</v>
      </c>
      <c r="U99" s="311">
        <f t="shared" ca="1" si="31"/>
        <v>0</v>
      </c>
      <c r="V99" s="306">
        <f t="shared" ca="1" si="32"/>
        <v>1.101063294725227</v>
      </c>
      <c r="W99" s="304">
        <f t="shared" ca="1" si="33"/>
        <v>35.924397567174125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1065.6348479925036</v>
      </c>
      <c r="AG99" s="306">
        <f t="shared" ca="1" si="56"/>
        <v>-13.973434836613768</v>
      </c>
      <c r="AH99" s="304">
        <f t="shared" ca="1" si="57"/>
        <v>-4.3139538722187858</v>
      </c>
    </row>
    <row r="100" spans="1:34" x14ac:dyDescent="0.2">
      <c r="A100" s="347">
        <f t="shared" ca="1" si="35"/>
        <v>0.01</v>
      </c>
      <c r="B100" s="304">
        <f t="shared" ca="1" si="36"/>
        <v>7.5599999999999792</v>
      </c>
      <c r="D100" s="306">
        <f t="shared" ca="1" si="37"/>
        <v>-0.84638510275035805</v>
      </c>
      <c r="E100" s="307">
        <f t="shared" ca="1" si="38"/>
        <v>-14.582649246408167</v>
      </c>
      <c r="F100" s="304">
        <f t="shared" ca="1" si="39"/>
        <v>14.607190927277099</v>
      </c>
      <c r="G100" s="306">
        <f t="shared" ca="1" si="40"/>
        <v>26.091746475424845</v>
      </c>
      <c r="H100" s="307">
        <f t="shared" ca="1" si="41"/>
        <v>147.02967168307347</v>
      </c>
      <c r="I100" s="304">
        <f t="shared" ca="1" si="42"/>
        <v>149.32683479324882</v>
      </c>
      <c r="J100" s="306">
        <f t="shared" ca="1" si="43"/>
        <v>134.53154878229716</v>
      </c>
      <c r="K100" s="307">
        <f t="shared" ca="1" si="44"/>
        <v>1067.1058738417967</v>
      </c>
      <c r="L100" s="304">
        <f t="shared" ca="1" si="29"/>
        <v>1075.5527339956084</v>
      </c>
      <c r="M100" s="306">
        <f t="shared" ca="1" si="45"/>
        <v>1.3951656772578251</v>
      </c>
      <c r="N100" s="304">
        <f t="shared" ca="1" si="46"/>
        <v>79.937105028384522</v>
      </c>
      <c r="P100" s="310">
        <f t="shared" ca="1" si="47"/>
        <v>10</v>
      </c>
      <c r="Q100" s="304">
        <f t="shared" ca="1" si="48"/>
        <v>16.125000000004576</v>
      </c>
      <c r="R100" s="306">
        <f t="shared" ca="1" si="49"/>
        <v>8.5583403538356199E-3</v>
      </c>
      <c r="S100" s="307">
        <f t="shared" ca="1" si="50"/>
        <v>4.0847776748104492</v>
      </c>
      <c r="T100" s="304">
        <f t="shared" ca="1" si="30"/>
        <v>40.071668989890512</v>
      </c>
      <c r="U100" s="311">
        <f t="shared" ca="1" si="31"/>
        <v>0</v>
      </c>
      <c r="V100" s="306">
        <f t="shared" ca="1" si="32"/>
        <v>1.100900875679435</v>
      </c>
      <c r="W100" s="304">
        <f t="shared" ca="1" si="33"/>
        <v>35.849412910368436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1067.1058738417967</v>
      </c>
      <c r="AG100" s="306">
        <f t="shared" ca="1" si="56"/>
        <v>-14.506402395160098</v>
      </c>
      <c r="AH100" s="304">
        <f t="shared" ca="1" si="57"/>
        <v>-4.8471175528759529</v>
      </c>
    </row>
    <row r="101" spans="1:34" x14ac:dyDescent="0.2">
      <c r="A101" s="347">
        <f t="shared" ca="1" si="35"/>
        <v>0.01</v>
      </c>
      <c r="B101" s="304">
        <f t="shared" ca="1" si="36"/>
        <v>7.569999999999979</v>
      </c>
      <c r="D101" s="306">
        <f t="shared" ca="1" si="37"/>
        <v>-0.91859965451751457</v>
      </c>
      <c r="E101" s="307">
        <f t="shared" ca="1" si="38"/>
        <v>-14.986403417038632</v>
      </c>
      <c r="F101" s="304">
        <f t="shared" ca="1" si="39"/>
        <v>15.014530052702511</v>
      </c>
      <c r="G101" s="306">
        <f t="shared" ca="1" si="40"/>
        <v>26.082560478879671</v>
      </c>
      <c r="H101" s="307">
        <f t="shared" ca="1" si="41"/>
        <v>146.8798076489031</v>
      </c>
      <c r="I101" s="304">
        <f t="shared" ca="1" si="42"/>
        <v>149.17767210984755</v>
      </c>
      <c r="J101" s="306">
        <f t="shared" ca="1" si="43"/>
        <v>134.79242031706869</v>
      </c>
      <c r="K101" s="307">
        <f t="shared" ca="1" si="44"/>
        <v>1068.5754212384566</v>
      </c>
      <c r="L101" s="304">
        <f t="shared" ca="1" si="29"/>
        <v>1077.0433730588004</v>
      </c>
      <c r="M101" s="306">
        <f t="shared" ca="1" si="45"/>
        <v>1.3950507744946079</v>
      </c>
      <c r="N101" s="304">
        <f t="shared" ca="1" si="46"/>
        <v>79.930521584997777</v>
      </c>
      <c r="P101" s="310">
        <f t="shared" ca="1" si="47"/>
        <v>11</v>
      </c>
      <c r="Q101" s="304">
        <f t="shared" ca="1" si="48"/>
        <v>14.375000000002567</v>
      </c>
      <c r="R101" s="306">
        <f t="shared" ca="1" si="49"/>
        <v>7.6295282224107972E-3</v>
      </c>
      <c r="S101" s="307">
        <f t="shared" ca="1" si="50"/>
        <v>4.0847013795282248</v>
      </c>
      <c r="T101" s="304">
        <f t="shared" ca="1" si="30"/>
        <v>40.070920533171886</v>
      </c>
      <c r="U101" s="311">
        <f t="shared" ca="1" si="31"/>
        <v>0</v>
      </c>
      <c r="V101" s="306">
        <f t="shared" ca="1" si="32"/>
        <v>1.100738642518986</v>
      </c>
      <c r="W101" s="304">
        <f t="shared" ca="1" si="33"/>
        <v>35.772556307910932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1068.5754212384566</v>
      </c>
      <c r="AG101" s="306">
        <f t="shared" ca="1" si="56"/>
        <v>-14.916366817118577</v>
      </c>
      <c r="AH101" s="304">
        <f t="shared" ca="1" si="57"/>
        <v>-5.2572785413376106</v>
      </c>
    </row>
    <row r="102" spans="1:34" x14ac:dyDescent="0.2">
      <c r="A102" s="347">
        <f t="shared" ca="1" si="35"/>
        <v>0.01</v>
      </c>
      <c r="B102" s="304">
        <f t="shared" ca="1" si="36"/>
        <v>7.5799999999999788</v>
      </c>
      <c r="D102" s="306">
        <f t="shared" ca="1" si="37"/>
        <v>-0.96942639420821541</v>
      </c>
      <c r="E102" s="307">
        <f t="shared" ca="1" si="38"/>
        <v>-15.269171174025335</v>
      </c>
      <c r="F102" s="304">
        <f t="shared" ca="1" si="39"/>
        <v>15.299914244056199</v>
      </c>
      <c r="G102" s="306">
        <f t="shared" ca="1" si="40"/>
        <v>26.072866214937587</v>
      </c>
      <c r="H102" s="307">
        <f t="shared" ca="1" si="41"/>
        <v>146.72711593716284</v>
      </c>
      <c r="I102" s="304">
        <f t="shared" ca="1" si="42"/>
        <v>149.02563841131382</v>
      </c>
      <c r="J102" s="306">
        <f t="shared" ca="1" si="43"/>
        <v>135.05319745053777</v>
      </c>
      <c r="K102" s="307">
        <f t="shared" ca="1" si="44"/>
        <v>1070.0434558563868</v>
      </c>
      <c r="L102" s="304">
        <f t="shared" ca="1" si="29"/>
        <v>1078.532504638916</v>
      </c>
      <c r="M102" s="306">
        <f t="shared" ca="1" si="45"/>
        <v>1.3949356800359303</v>
      </c>
      <c r="N102" s="304">
        <f t="shared" ca="1" si="46"/>
        <v>79.923927158270217</v>
      </c>
      <c r="P102" s="310">
        <f t="shared" ca="1" si="47"/>
        <v>11</v>
      </c>
      <c r="Q102" s="304">
        <f t="shared" ca="1" si="48"/>
        <v>13.125000000002595</v>
      </c>
      <c r="R102" s="306">
        <f t="shared" ca="1" si="49"/>
        <v>6.9660909856795574E-3</v>
      </c>
      <c r="S102" s="307">
        <f t="shared" ca="1" si="50"/>
        <v>4.0846317186183683</v>
      </c>
      <c r="T102" s="304">
        <f t="shared" ca="1" si="30"/>
        <v>40.070237159646197</v>
      </c>
      <c r="U102" s="311">
        <f t="shared" ca="1" si="31"/>
        <v>0</v>
      </c>
      <c r="V102" s="306">
        <f t="shared" ca="1" si="32"/>
        <v>1.1005765989595302</v>
      </c>
      <c r="W102" s="304">
        <f t="shared" ca="1" si="33"/>
        <v>35.694423136276825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1070.0434558563868</v>
      </c>
      <c r="AG102" s="306">
        <f t="shared" ca="1" si="56"/>
        <v>-15.203468558523365</v>
      </c>
      <c r="AH102" s="304">
        <f t="shared" ca="1" si="57"/>
        <v>-5.5445773004888927</v>
      </c>
    </row>
    <row r="103" spans="1:34" x14ac:dyDescent="0.2">
      <c r="A103" s="347">
        <f t="shared" ca="1" si="35"/>
        <v>0.01</v>
      </c>
      <c r="B103" s="304">
        <f t="shared" ca="1" si="36"/>
        <v>7.5899999999999785</v>
      </c>
      <c r="D103" s="306">
        <f t="shared" ca="1" si="37"/>
        <v>-1.0202646052135051</v>
      </c>
      <c r="E103" s="307">
        <f t="shared" ca="1" si="38"/>
        <v>-15.551619727637757</v>
      </c>
      <c r="F103" s="304">
        <f t="shared" ca="1" si="39"/>
        <v>15.585051043153607</v>
      </c>
      <c r="G103" s="306">
        <f t="shared" ca="1" si="40"/>
        <v>26.062663568885451</v>
      </c>
      <c r="H103" s="307">
        <f t="shared" ca="1" si="41"/>
        <v>146.57159973988647</v>
      </c>
      <c r="I103" s="304">
        <f t="shared" ca="1" si="42"/>
        <v>148.8707368243148</v>
      </c>
      <c r="J103" s="306">
        <f t="shared" ca="1" si="43"/>
        <v>135.31387509945688</v>
      </c>
      <c r="K103" s="307">
        <f t="shared" ca="1" si="44"/>
        <v>1071.5099494347721</v>
      </c>
      <c r="L103" s="304">
        <f t="shared" ca="1" si="29"/>
        <v>1080.0201000593181</v>
      </c>
      <c r="M103" s="306">
        <f t="shared" ca="1" si="45"/>
        <v>1.3948203911464998</v>
      </c>
      <c r="N103" s="304">
        <f t="shared" ca="1" si="46"/>
        <v>79.917321591481098</v>
      </c>
      <c r="P103" s="310">
        <f t="shared" ca="1" si="47"/>
        <v>11</v>
      </c>
      <c r="Q103" s="304">
        <f t="shared" ca="1" si="48"/>
        <v>11.875000000002622</v>
      </c>
      <c r="R103" s="306">
        <f t="shared" ca="1" si="49"/>
        <v>6.3026537489483158E-3</v>
      </c>
      <c r="S103" s="307">
        <f t="shared" ca="1" si="50"/>
        <v>4.0845686920808788</v>
      </c>
      <c r="T103" s="304">
        <f t="shared" ca="1" si="30"/>
        <v>40.069618869313423</v>
      </c>
      <c r="U103" s="311">
        <f t="shared" ca="1" si="31"/>
        <v>0</v>
      </c>
      <c r="V103" s="306">
        <f t="shared" ca="1" si="32"/>
        <v>1.1004147480453528</v>
      </c>
      <c r="W103" s="304">
        <f t="shared" ca="1" si="33"/>
        <v>35.615019736885095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1071.5099494347721</v>
      </c>
      <c r="AG103" s="306">
        <f t="shared" ca="1" si="56"/>
        <v>-15.490257635883998</v>
      </c>
      <c r="AH103" s="304">
        <f t="shared" ca="1" si="57"/>
        <v>-5.8315638521283937</v>
      </c>
    </row>
    <row r="104" spans="1:34" x14ac:dyDescent="0.2">
      <c r="A104" s="347">
        <f t="shared" ca="1" si="35"/>
        <v>0.01</v>
      </c>
      <c r="B104" s="304">
        <f t="shared" ca="1" si="36"/>
        <v>7.5999999999999783</v>
      </c>
      <c r="D104" s="306">
        <f t="shared" ca="1" si="37"/>
        <v>-1.0711143827515708</v>
      </c>
      <c r="E104" s="307">
        <f t="shared" ca="1" si="38"/>
        <v>-15.833749190843452</v>
      </c>
      <c r="F104" s="304">
        <f t="shared" ca="1" si="39"/>
        <v>15.869936970872725</v>
      </c>
      <c r="G104" s="306">
        <f t="shared" ca="1" si="40"/>
        <v>26.051952425057937</v>
      </c>
      <c r="H104" s="307">
        <f t="shared" ca="1" si="41"/>
        <v>146.41326224797803</v>
      </c>
      <c r="I104" s="304">
        <f t="shared" ca="1" si="42"/>
        <v>148.7129704741744</v>
      </c>
      <c r="J104" s="306">
        <f t="shared" ca="1" si="43"/>
        <v>135.57444817942658</v>
      </c>
      <c r="K104" s="307">
        <f t="shared" ca="1" si="44"/>
        <v>1072.9748737447114</v>
      </c>
      <c r="L104" s="304">
        <f t="shared" ca="1" si="29"/>
        <v>1081.5061306745495</v>
      </c>
      <c r="M104" s="306">
        <f t="shared" ca="1" si="45"/>
        <v>1.3947049050718872</v>
      </c>
      <c r="N104" s="304">
        <f t="shared" ca="1" si="46"/>
        <v>79.910704726813265</v>
      </c>
      <c r="P104" s="310">
        <f t="shared" ca="1" si="47"/>
        <v>11</v>
      </c>
      <c r="Q104" s="304">
        <f t="shared" ca="1" si="48"/>
        <v>10.62500000000265</v>
      </c>
      <c r="R104" s="306">
        <f t="shared" ca="1" si="49"/>
        <v>5.6392165122170759E-3</v>
      </c>
      <c r="S104" s="307">
        <f t="shared" ca="1" si="50"/>
        <v>4.0845122999157564</v>
      </c>
      <c r="T104" s="304">
        <f t="shared" ca="1" si="30"/>
        <v>40.069065662173571</v>
      </c>
      <c r="U104" s="311">
        <f t="shared" ca="1" si="31"/>
        <v>0</v>
      </c>
      <c r="V104" s="306">
        <f t="shared" ca="1" si="32"/>
        <v>1.1002530928155849</v>
      </c>
      <c r="W104" s="304">
        <f t="shared" ca="1" si="33"/>
        <v>35.534352517935062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 t="e">
        <f t="shared" ca="1" si="54"/>
        <v>#N/A</v>
      </c>
      <c r="AD104" s="323" t="e">
        <f t="shared" ca="1" si="55"/>
        <v>#N/A</v>
      </c>
      <c r="AE104" s="324">
        <f t="shared" ca="1" si="34"/>
        <v>1072.9748737447114</v>
      </c>
      <c r="AG104" s="306">
        <f t="shared" ca="1" si="56"/>
        <v>-15.776734183530273</v>
      </c>
      <c r="AH104" s="304">
        <f t="shared" ca="1" si="57"/>
        <v>-6.1182383359202683</v>
      </c>
    </row>
    <row r="105" spans="1:34" x14ac:dyDescent="0.2">
      <c r="A105" s="347">
        <f t="shared" ca="1" si="35"/>
        <v>0.01</v>
      </c>
      <c r="B105" s="304">
        <f t="shared" ca="1" si="36"/>
        <v>7.6099999999999781</v>
      </c>
      <c r="D105" s="306">
        <f t="shared" ca="1" si="37"/>
        <v>-1.1219758283421242</v>
      </c>
      <c r="E105" s="307">
        <f t="shared" ca="1" si="38"/>
        <v>-16.115559695132234</v>
      </c>
      <c r="F105" s="304">
        <f t="shared" ca="1" si="39"/>
        <v>16.154568828871742</v>
      </c>
      <c r="G105" s="306">
        <f t="shared" ca="1" si="40"/>
        <v>26.040732666774517</v>
      </c>
      <c r="H105" s="307">
        <f t="shared" ca="1" si="41"/>
        <v>146.25210665102671</v>
      </c>
      <c r="I105" s="304">
        <f t="shared" ca="1" si="42"/>
        <v>148.55234248468014</v>
      </c>
      <c r="J105" s="306">
        <f t="shared" ca="1" si="43"/>
        <v>135.83491160488575</v>
      </c>
      <c r="K105" s="307">
        <f t="shared" ca="1" si="44"/>
        <v>1074.4382005892064</v>
      </c>
      <c r="L105" s="304">
        <f t="shared" ca="1" si="29"/>
        <v>1082.9905678703203</v>
      </c>
      <c r="M105" s="306">
        <f t="shared" ca="1" si="45"/>
        <v>1.3945892190381302</v>
      </c>
      <c r="N105" s="304">
        <f t="shared" ca="1" si="46"/>
        <v>79.904076405330372</v>
      </c>
      <c r="P105" s="310">
        <f t="shared" ca="1" si="47"/>
        <v>12</v>
      </c>
      <c r="Q105" s="304">
        <f t="shared" ca="1" si="48"/>
        <v>9.3750000000026787</v>
      </c>
      <c r="R105" s="306">
        <f t="shared" ca="1" si="49"/>
        <v>4.975779275485836E-3</v>
      </c>
      <c r="S105" s="307">
        <f t="shared" ca="1" si="50"/>
        <v>4.0844625421230019</v>
      </c>
      <c r="T105" s="304">
        <f t="shared" ca="1" si="30"/>
        <v>40.068577538226648</v>
      </c>
      <c r="U105" s="311">
        <f t="shared" ca="1" si="31"/>
        <v>0</v>
      </c>
      <c r="V105" s="306">
        <f t="shared" ca="1" si="32"/>
        <v>1.1000916363042144</v>
      </c>
      <c r="W105" s="304">
        <f t="shared" ca="1" si="33"/>
        <v>35.452427953952856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1074.4382005892064</v>
      </c>
      <c r="AG105" s="306">
        <f t="shared" ca="1" si="56"/>
        <v>-16.062898355145212</v>
      </c>
      <c r="AH105" s="304">
        <f t="shared" ca="1" si="57"/>
        <v>-6.4046009109280275</v>
      </c>
    </row>
    <row r="106" spans="1:34" x14ac:dyDescent="0.2">
      <c r="A106" s="347">
        <f t="shared" ca="1" si="35"/>
        <v>0.01</v>
      </c>
      <c r="B106" s="304">
        <f t="shared" ca="1" si="36"/>
        <v>7.6199999999999779</v>
      </c>
      <c r="D106" s="306">
        <f t="shared" ca="1" si="37"/>
        <v>-1.1728490498188384</v>
      </c>
      <c r="E106" s="307">
        <f t="shared" ca="1" si="38"/>
        <v>-16.397051390398019</v>
      </c>
      <c r="F106" s="304">
        <f t="shared" ca="1" si="39"/>
        <v>16.438943676313709</v>
      </c>
      <c r="G106" s="306">
        <f t="shared" ca="1" si="40"/>
        <v>26.029004176276327</v>
      </c>
      <c r="H106" s="307">
        <f t="shared" ca="1" si="41"/>
        <v>146.08813613712272</v>
      </c>
      <c r="I106" s="304">
        <f t="shared" ca="1" si="42"/>
        <v>148.38885597789044</v>
      </c>
      <c r="J106" s="306">
        <f t="shared" ca="1" si="43"/>
        <v>136.09526028910099</v>
      </c>
      <c r="K106" s="307">
        <f t="shared" ca="1" si="44"/>
        <v>1075.8999018031473</v>
      </c>
      <c r="L106" s="304">
        <f t="shared" ca="1" si="29"/>
        <v>1084.4733830634941</v>
      </c>
      <c r="M106" s="306">
        <f t="shared" ca="1" si="45"/>
        <v>1.3944733302513312</v>
      </c>
      <c r="N106" s="304">
        <f t="shared" ca="1" si="46"/>
        <v>79.897436466953906</v>
      </c>
      <c r="P106" s="310">
        <f t="shared" ca="1" si="47"/>
        <v>12</v>
      </c>
      <c r="Q106" s="304">
        <f t="shared" ca="1" si="48"/>
        <v>8.1250000000027072</v>
      </c>
      <c r="R106" s="306">
        <f t="shared" ca="1" si="49"/>
        <v>4.3123420387545953E-3</v>
      </c>
      <c r="S106" s="307">
        <f t="shared" ca="1" si="50"/>
        <v>4.0844194187026144</v>
      </c>
      <c r="T106" s="304">
        <f t="shared" ca="1" si="30"/>
        <v>40.068154497472648</v>
      </c>
      <c r="U106" s="311">
        <f t="shared" ca="1" si="31"/>
        <v>0</v>
      </c>
      <c r="V106" s="306">
        <f t="shared" ca="1" si="32"/>
        <v>1.0999303815400931</v>
      </c>
      <c r="W106" s="304">
        <f t="shared" ca="1" si="33"/>
        <v>35.369252585340064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1075.8999018031473</v>
      </c>
      <c r="AG106" s="306">
        <f t="shared" ca="1" si="56"/>
        <v>-16.348750323651949</v>
      </c>
      <c r="AH106" s="304">
        <f t="shared" ca="1" si="57"/>
        <v>-6.6906517555022553</v>
      </c>
    </row>
    <row r="107" spans="1:34" x14ac:dyDescent="0.2">
      <c r="A107" s="347">
        <f t="shared" ca="1" si="35"/>
        <v>0.01</v>
      </c>
      <c r="B107" s="304">
        <f t="shared" ca="1" si="36"/>
        <v>7.6299999999999777</v>
      </c>
      <c r="D107" s="306">
        <f t="shared" ca="1" si="37"/>
        <v>-1.2237341613424049</v>
      </c>
      <c r="E107" s="307">
        <f t="shared" ca="1" si="38"/>
        <v>-16.678224444820536</v>
      </c>
      <c r="F107" s="304">
        <f t="shared" ca="1" si="39"/>
        <v>16.723058809005177</v>
      </c>
      <c r="G107" s="306">
        <f t="shared" ca="1" si="40"/>
        <v>26.016766834662903</v>
      </c>
      <c r="H107" s="307">
        <f t="shared" ca="1" si="41"/>
        <v>145.92135389267452</v>
      </c>
      <c r="I107" s="304">
        <f t="shared" ca="1" si="42"/>
        <v>148.22251407394347</v>
      </c>
      <c r="J107" s="306">
        <f t="shared" ca="1" si="43"/>
        <v>136.35548914415568</v>
      </c>
      <c r="K107" s="307">
        <f t="shared" ca="1" si="44"/>
        <v>1077.3599492532962</v>
      </c>
      <c r="L107" s="304">
        <f t="shared" ca="1" si="29"/>
        <v>1085.9545477020697</v>
      </c>
      <c r="M107" s="306">
        <f t="shared" ca="1" si="45"/>
        <v>1.3943572358972502</v>
      </c>
      <c r="N107" s="304">
        <f t="shared" ca="1" si="46"/>
        <v>79.890784750439764</v>
      </c>
      <c r="P107" s="310">
        <f t="shared" ca="1" si="47"/>
        <v>12</v>
      </c>
      <c r="Q107" s="304">
        <f t="shared" ca="1" si="48"/>
        <v>6.8750000000027338</v>
      </c>
      <c r="R107" s="306">
        <f t="shared" ca="1" si="49"/>
        <v>3.6489048020233545E-3</v>
      </c>
      <c r="S107" s="307">
        <f t="shared" ca="1" si="50"/>
        <v>4.0843829296545939</v>
      </c>
      <c r="T107" s="304">
        <f t="shared" ca="1" si="30"/>
        <v>40.067796539911569</v>
      </c>
      <c r="U107" s="311">
        <f t="shared" ca="1" si="31"/>
        <v>0</v>
      </c>
      <c r="V107" s="306">
        <f t="shared" ca="1" si="32"/>
        <v>1.0997693315469481</v>
      </c>
      <c r="W107" s="304">
        <f t="shared" ca="1" si="33"/>
        <v>35.284833017925358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1077.3599492532962</v>
      </c>
      <c r="AG107" s="306">
        <f t="shared" ca="1" si="56"/>
        <v>-16.634290281100633</v>
      </c>
      <c r="AH107" s="304">
        <f t="shared" ca="1" si="57"/>
        <v>-6.9763910671683806</v>
      </c>
    </row>
    <row r="108" spans="1:34" x14ac:dyDescent="0.2">
      <c r="A108" s="347">
        <f t="shared" ca="1" si="35"/>
        <v>0.01</v>
      </c>
      <c r="B108" s="304">
        <f t="shared" ca="1" si="36"/>
        <v>7.6399999999999775</v>
      </c>
      <c r="D108" s="306">
        <f t="shared" ca="1" si="37"/>
        <v>-1.2746312834142366</v>
      </c>
      <c r="E108" s="307">
        <f t="shared" ca="1" si="38"/>
        <v>-16.959079044747206</v>
      </c>
      <c r="F108" s="304">
        <f t="shared" ca="1" si="39"/>
        <v>17.006911740661266</v>
      </c>
      <c r="G108" s="306">
        <f t="shared" ca="1" si="40"/>
        <v>26.00402052182876</v>
      </c>
      <c r="H108" s="307">
        <f t="shared" ca="1" si="41"/>
        <v>145.75176310222705</v>
      </c>
      <c r="I108" s="304">
        <f t="shared" ca="1" si="42"/>
        <v>148.05331989086702</v>
      </c>
      <c r="J108" s="306">
        <f t="shared" ca="1" si="43"/>
        <v>136.61559308093814</v>
      </c>
      <c r="K108" s="307">
        <f t="shared" ca="1" si="44"/>
        <v>1078.8183148382707</v>
      </c>
      <c r="L108" s="304">
        <f t="shared" ca="1" si="29"/>
        <v>1087.4340332651643</v>
      </c>
      <c r="M108" s="306">
        <f t="shared" ca="1" si="45"/>
        <v>1.3942409331408903</v>
      </c>
      <c r="N108" s="304">
        <f t="shared" ca="1" si="46"/>
        <v>79.884121093354594</v>
      </c>
      <c r="P108" s="310">
        <f t="shared" ca="1" si="47"/>
        <v>12</v>
      </c>
      <c r="Q108" s="304">
        <f t="shared" ca="1" si="48"/>
        <v>5.6250000000027613</v>
      </c>
      <c r="R108" s="306">
        <f t="shared" ca="1" si="49"/>
        <v>2.9854675652921138E-3</v>
      </c>
      <c r="S108" s="307">
        <f t="shared" ca="1" si="50"/>
        <v>4.0843530749789414</v>
      </c>
      <c r="T108" s="304">
        <f t="shared" ca="1" si="30"/>
        <v>40.06750366554342</v>
      </c>
      <c r="U108" s="311">
        <f t="shared" ca="1" si="31"/>
        <v>0</v>
      </c>
      <c r="V108" s="306">
        <f t="shared" ca="1" si="32"/>
        <v>1.0996084893433913</v>
      </c>
      <c r="W108" s="304">
        <f t="shared" ca="1" si="33"/>
        <v>35.199175922518634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1078.8183148382707</v>
      </c>
      <c r="AG108" s="306">
        <f t="shared" ca="1" si="56"/>
        <v>-16.919518438555595</v>
      </c>
      <c r="AH108" s="304">
        <f t="shared" ca="1" si="57"/>
        <v>-7.2618190625146974</v>
      </c>
    </row>
    <row r="109" spans="1:34" x14ac:dyDescent="0.2">
      <c r="A109" s="347">
        <f t="shared" ca="1" si="35"/>
        <v>0.01</v>
      </c>
      <c r="B109" s="304">
        <f t="shared" ca="1" si="36"/>
        <v>7.6499999999999773</v>
      </c>
      <c r="D109" s="306">
        <f t="shared" ca="1" si="37"/>
        <v>-1.3255405428908347</v>
      </c>
      <c r="E109" s="307">
        <f t="shared" ca="1" si="38"/>
        <v>-17.239615394574965</v>
      </c>
      <c r="F109" s="304">
        <f t="shared" ca="1" si="39"/>
        <v>17.290500186047641</v>
      </c>
      <c r="G109" s="306">
        <f t="shared" ca="1" si="40"/>
        <v>25.990765116399853</v>
      </c>
      <c r="H109" s="307">
        <f t="shared" ca="1" si="41"/>
        <v>145.57936694828129</v>
      </c>
      <c r="I109" s="304">
        <f t="shared" ca="1" si="42"/>
        <v>147.88127654438949</v>
      </c>
      <c r="J109" s="306">
        <f t="shared" ca="1" si="43"/>
        <v>136.87556700912927</v>
      </c>
      <c r="K109" s="307">
        <f t="shared" ca="1" si="44"/>
        <v>1080.2749704885232</v>
      </c>
      <c r="L109" s="304">
        <f t="shared" ca="1" si="29"/>
        <v>1088.9118112629922</v>
      </c>
      <c r="M109" s="306">
        <f t="shared" ca="1" si="45"/>
        <v>1.3941244191260778</v>
      </c>
      <c r="N109" s="304">
        <f t="shared" ca="1" si="46"/>
        <v>79.877445332051721</v>
      </c>
      <c r="P109" s="310">
        <f t="shared" ca="1" si="47"/>
        <v>12</v>
      </c>
      <c r="Q109" s="304">
        <f t="shared" ca="1" si="48"/>
        <v>4.3750000000027898</v>
      </c>
      <c r="R109" s="306">
        <f t="shared" ca="1" si="49"/>
        <v>2.3220303285608739E-3</v>
      </c>
      <c r="S109" s="307">
        <f t="shared" ca="1" si="50"/>
        <v>4.0843298546756559</v>
      </c>
      <c r="T109" s="304">
        <f t="shared" ca="1" si="30"/>
        <v>40.067275874368185</v>
      </c>
      <c r="U109" s="311">
        <f t="shared" ca="1" si="31"/>
        <v>0</v>
      </c>
      <c r="V109" s="306">
        <f t="shared" ca="1" si="32"/>
        <v>1.0994478579429294</v>
      </c>
      <c r="W109" s="304">
        <f t="shared" ca="1" si="33"/>
        <v>35.112288034467895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1080.2749704885232</v>
      </c>
      <c r="AG109" s="306">
        <f t="shared" ca="1" si="56"/>
        <v>-17.204435025982647</v>
      </c>
      <c r="AH109" s="304">
        <f t="shared" ca="1" si="57"/>
        <v>-7.5469359770805413</v>
      </c>
    </row>
    <row r="110" spans="1:34" x14ac:dyDescent="0.2">
      <c r="A110" s="347">
        <f t="shared" ca="1" si="35"/>
        <v>0.01</v>
      </c>
      <c r="B110" s="304">
        <f t="shared" ca="1" si="36"/>
        <v>7.659999999999977</v>
      </c>
      <c r="D110" s="306">
        <f t="shared" ca="1" si="37"/>
        <v>-1.3764620729988197</v>
      </c>
      <c r="E110" s="307">
        <f t="shared" ca="1" si="38"/>
        <v>-17.519833716632185</v>
      </c>
      <c r="F110" s="304">
        <f t="shared" ca="1" si="39"/>
        <v>17.573822045782929</v>
      </c>
      <c r="G110" s="306">
        <f t="shared" ca="1" si="40"/>
        <v>25.977000495669866</v>
      </c>
      <c r="H110" s="307">
        <f t="shared" ca="1" si="41"/>
        <v>145.40416861111495</v>
      </c>
      <c r="I110" s="304">
        <f t="shared" ca="1" si="42"/>
        <v>147.70638714775194</v>
      </c>
      <c r="J110" s="306">
        <f t="shared" ca="1" si="43"/>
        <v>137.13540583718961</v>
      </c>
      <c r="K110" s="307">
        <f t="shared" ca="1" si="44"/>
        <v>1081.7298881663203</v>
      </c>
      <c r="L110" s="304">
        <f t="shared" ca="1" si="29"/>
        <v>1090.3878532368426</v>
      </c>
      <c r="M110" s="306">
        <f t="shared" ca="1" si="45"/>
        <v>1.3940076909750354</v>
      </c>
      <c r="N110" s="304">
        <f t="shared" ca="1" si="46"/>
        <v>79.870757301646634</v>
      </c>
      <c r="P110" s="310">
        <f t="shared" ca="1" si="47"/>
        <v>12</v>
      </c>
      <c r="Q110" s="304">
        <f t="shared" ca="1" si="48"/>
        <v>3.1250000000028173</v>
      </c>
      <c r="R110" s="306">
        <f t="shared" ca="1" si="49"/>
        <v>1.6585930918296332E-3</v>
      </c>
      <c r="S110" s="307">
        <f t="shared" ca="1" si="50"/>
        <v>4.0843132687447374</v>
      </c>
      <c r="T110" s="304">
        <f t="shared" ca="1" si="30"/>
        <v>40.067113166385873</v>
      </c>
      <c r="U110" s="311">
        <f t="shared" ca="1" si="31"/>
        <v>0</v>
      </c>
      <c r="V110" s="306">
        <f t="shared" ca="1" si="32"/>
        <v>1.0992874403539756</v>
      </c>
      <c r="W110" s="304">
        <f t="shared" ca="1" si="33"/>
        <v>35.024176153218747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1081.7298881663203</v>
      </c>
      <c r="AG110" s="306">
        <f t="shared" ca="1" si="56"/>
        <v>-17.489040292136533</v>
      </c>
      <c r="AH110" s="304">
        <f t="shared" ca="1" si="57"/>
        <v>-7.8317420652446597</v>
      </c>
    </row>
    <row r="111" spans="1:34" x14ac:dyDescent="0.2">
      <c r="A111" s="347">
        <f t="shared" ca="1" si="35"/>
        <v>0.01</v>
      </c>
      <c r="B111" s="304">
        <f t="shared" ca="1" si="36"/>
        <v>7.6699999999999768</v>
      </c>
      <c r="D111" s="306">
        <f t="shared" ca="1" si="37"/>
        <v>-1.4273960133506565</v>
      </c>
      <c r="E111" s="307">
        <f t="shared" ca="1" si="38"/>
        <v>-17.799734251060613</v>
      </c>
      <c r="F111" s="304">
        <f t="shared" ca="1" si="39"/>
        <v>17.856875392613055</v>
      </c>
      <c r="G111" s="306">
        <f t="shared" ca="1" si="40"/>
        <v>25.962726535536358</v>
      </c>
      <c r="H111" s="307">
        <f t="shared" ca="1" si="41"/>
        <v>145.22617126860436</v>
      </c>
      <c r="I111" s="304">
        <f t="shared" ca="1" si="42"/>
        <v>147.52865481152145</v>
      </c>
      <c r="J111" s="306">
        <f t="shared" ca="1" si="43"/>
        <v>137.39510447234565</v>
      </c>
      <c r="K111" s="307">
        <f t="shared" ca="1" si="44"/>
        <v>1083.1830398657189</v>
      </c>
      <c r="L111" s="304">
        <f t="shared" ca="1" si="29"/>
        <v>1091.8621307590563</v>
      </c>
      <c r="M111" s="306">
        <f t="shared" ca="1" si="45"/>
        <v>1.3938907457879512</v>
      </c>
      <c r="N111" s="304">
        <f t="shared" ca="1" si="46"/>
        <v>79.864056835992344</v>
      </c>
      <c r="P111" s="310">
        <f t="shared" ca="1" si="47"/>
        <v>12</v>
      </c>
      <c r="Q111" s="304">
        <f t="shared" ca="1" si="48"/>
        <v>1.8750000000028457</v>
      </c>
      <c r="R111" s="306">
        <f t="shared" ca="1" si="49"/>
        <v>9.9515585509839309E-4</v>
      </c>
      <c r="S111" s="307">
        <f t="shared" ca="1" si="50"/>
        <v>4.0843033171861869</v>
      </c>
      <c r="T111" s="304">
        <f t="shared" ca="1" si="30"/>
        <v>40.067015541596497</v>
      </c>
      <c r="U111" s="311">
        <f t="shared" ca="1" si="31"/>
        <v>0</v>
      </c>
      <c r="V111" s="306">
        <f t="shared" ca="1" si="32"/>
        <v>1.0991272395798586</v>
      </c>
      <c r="W111" s="304">
        <f t="shared" ca="1" si="33"/>
        <v>34.934847141876801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1083.1830398657189</v>
      </c>
      <c r="AG111" s="306">
        <f t="shared" ca="1" si="56"/>
        <v>-17.773334504448599</v>
      </c>
      <c r="AH111" s="304">
        <f t="shared" ca="1" si="57"/>
        <v>-8.1162376001137648</v>
      </c>
    </row>
    <row r="112" spans="1:34" x14ac:dyDescent="0.2">
      <c r="A112" s="347">
        <f t="shared" ca="1" si="35"/>
        <v>0.01</v>
      </c>
      <c r="B112" s="304">
        <f t="shared" ca="1" si="36"/>
        <v>7.6799999999999766</v>
      </c>
      <c r="D112" s="306">
        <f t="shared" ca="1" si="37"/>
        <v>-1.478342509961057</v>
      </c>
      <c r="E112" s="307">
        <f t="shared" ca="1" si="38"/>
        <v>-18.079317255697376</v>
      </c>
      <c r="F112" s="304">
        <f t="shared" ca="1" si="39"/>
        <v>18.139658458992958</v>
      </c>
      <c r="G112" s="306">
        <f t="shared" ca="1" si="40"/>
        <v>25.947943110436746</v>
      </c>
      <c r="H112" s="307">
        <f t="shared" ca="1" si="41"/>
        <v>145.04537809604739</v>
      </c>
      <c r="I112" s="304">
        <f t="shared" ca="1" si="42"/>
        <v>147.34808264340532</v>
      </c>
      <c r="J112" s="306">
        <f t="shared" ca="1" si="43"/>
        <v>137.65465782057552</v>
      </c>
      <c r="K112" s="307">
        <f t="shared" ca="1" si="44"/>
        <v>1084.6343976125422</v>
      </c>
      <c r="L112" s="304">
        <f t="shared" ca="1" si="29"/>
        <v>1093.3346154329981</v>
      </c>
      <c r="M112" s="306">
        <f t="shared" ca="1" si="45"/>
        <v>1.3937735806425369</v>
      </c>
      <c r="N112" s="304">
        <f t="shared" ca="1" si="46"/>
        <v>79.857343767654058</v>
      </c>
      <c r="P112" s="310">
        <f t="shared" ca="1" si="47"/>
        <v>12</v>
      </c>
      <c r="Q112" s="304">
        <f t="shared" ca="1" si="48"/>
        <v>0.62500000000287237</v>
      </c>
      <c r="R112" s="306">
        <f t="shared" ca="1" si="49"/>
        <v>3.3171861836715213E-4</v>
      </c>
      <c r="S112" s="307">
        <f t="shared" ca="1" si="50"/>
        <v>4.0843000000000034</v>
      </c>
      <c r="T112" s="304">
        <f t="shared" ca="1" si="30"/>
        <v>40.066983000000036</v>
      </c>
      <c r="U112" s="311">
        <f t="shared" ca="1" si="31"/>
        <v>0</v>
      </c>
      <c r="V112" s="306">
        <f t="shared" ca="1" si="32"/>
        <v>1.0989672586188346</v>
      </c>
      <c r="W112" s="304">
        <f t="shared" ca="1" si="33"/>
        <v>34.844307926772736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1084.6343976125422</v>
      </c>
      <c r="AG112" s="306">
        <f t="shared" ca="1" si="56"/>
        <v>-18.057317948914637</v>
      </c>
      <c r="AH112" s="304">
        <f t="shared" ca="1" si="57"/>
        <v>-8.4004228734113315</v>
      </c>
    </row>
    <row r="113" spans="1:34" x14ac:dyDescent="0.2">
      <c r="A113" s="347">
        <f t="shared" ca="1" si="35"/>
        <v>0.01</v>
      </c>
      <c r="B113" s="304">
        <f t="shared" ca="1" si="36"/>
        <v>7.6899999999999764</v>
      </c>
      <c r="D113" s="306">
        <f t="shared" ca="1" si="37"/>
        <v>-1.5023553114885808</v>
      </c>
      <c r="E113" s="307">
        <f t="shared" ca="1" si="38"/>
        <v>-18.207956372188086</v>
      </c>
      <c r="F113" s="304">
        <f t="shared" ca="1" si="39"/>
        <v>18.269831601124917</v>
      </c>
      <c r="G113" s="306">
        <f t="shared" ca="1" si="40"/>
        <v>25.93291955732186</v>
      </c>
      <c r="H113" s="307">
        <f t="shared" ca="1" si="41"/>
        <v>144.8632985323255</v>
      </c>
      <c r="I113" s="304">
        <f t="shared" ca="1" si="42"/>
        <v>147.16620392750568</v>
      </c>
      <c r="J113" s="306">
        <f t="shared" ca="1" si="43"/>
        <v>137.91406213391431</v>
      </c>
      <c r="K113" s="307">
        <f t="shared" ca="1" si="44"/>
        <v>1086.0839409956841</v>
      </c>
      <c r="L113" s="304">
        <f t="shared" ca="1" si="29"/>
        <v>1094.8052865340912</v>
      </c>
      <c r="M113" s="306">
        <f t="shared" ca="1" si="45"/>
        <v>1.3936561938141401</v>
      </c>
      <c r="N113" s="304">
        <f t="shared" ca="1" si="46"/>
        <v>79.850617997816499</v>
      </c>
      <c r="P113" s="310">
        <f t="shared" ca="1" si="47"/>
        <v>13</v>
      </c>
      <c r="Q113" s="304">
        <f t="shared" ca="1" si="48"/>
        <v>0</v>
      </c>
      <c r="R113" s="306">
        <f t="shared" ca="1" si="49"/>
        <v>0</v>
      </c>
      <c r="S113" s="307">
        <f t="shared" ca="1" si="50"/>
        <v>4.0843000000000034</v>
      </c>
      <c r="T113" s="304">
        <f t="shared" ca="1" si="30"/>
        <v>40.066983000000036</v>
      </c>
      <c r="U113" s="311">
        <f t="shared" ca="1" si="31"/>
        <v>0</v>
      </c>
      <c r="V113" s="306">
        <f t="shared" ca="1" si="32"/>
        <v>1.0988074996341035</v>
      </c>
      <c r="W113" s="304">
        <f t="shared" ca="1" si="33"/>
        <v>34.753288170545005</v>
      </c>
      <c r="Y113" s="314" t="str">
        <f t="shared" ca="1" si="51"/>
        <v>Fin de propulsion</v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1086.0839409956841</v>
      </c>
      <c r="AG113" s="306">
        <f t="shared" ca="1" si="56"/>
        <v>-18.187972985032037</v>
      </c>
      <c r="AH113" s="304">
        <f t="shared" ca="1" si="57"/>
        <v>-8.5312802504156657</v>
      </c>
    </row>
    <row r="114" spans="1:34" x14ac:dyDescent="0.2">
      <c r="A114" s="347">
        <f t="shared" ca="1" si="35"/>
        <v>0.01</v>
      </c>
      <c r="B114" s="304">
        <f t="shared" ca="1" si="36"/>
        <v>7.6999999999999762</v>
      </c>
      <c r="D114" s="306">
        <f t="shared" ca="1" si="37"/>
        <v>-1.4994141064608943</v>
      </c>
      <c r="E114" s="307">
        <f t="shared" ca="1" si="38"/>
        <v>-18.185843408132492</v>
      </c>
      <c r="F114" s="304">
        <f t="shared" ca="1" si="39"/>
        <v>18.247551702290636</v>
      </c>
      <c r="G114" s="306">
        <f t="shared" ca="1" si="40"/>
        <v>25.917925416257251</v>
      </c>
      <c r="H114" s="307">
        <f t="shared" ca="1" si="41"/>
        <v>144.68144009824417</v>
      </c>
      <c r="I114" s="304">
        <f t="shared" ca="1" si="42"/>
        <v>146.984550095527</v>
      </c>
      <c r="J114" s="306">
        <f t="shared" ca="1" si="43"/>
        <v>138.17331635878222</v>
      </c>
      <c r="K114" s="307">
        <f t="shared" ca="1" si="44"/>
        <v>1087.5316646888368</v>
      </c>
      <c r="L114" s="304">
        <f t="shared" ca="1" si="29"/>
        <v>1096.2741386416342</v>
      </c>
      <c r="M114" s="306">
        <f t="shared" ca="1" si="45"/>
        <v>1.3935385847900525</v>
      </c>
      <c r="N114" s="304">
        <f t="shared" ca="1" si="46"/>
        <v>79.843879497103629</v>
      </c>
      <c r="P114" s="310">
        <f t="shared" ca="1" si="47"/>
        <v>13</v>
      </c>
      <c r="Q114" s="304">
        <f t="shared" ca="1" si="48"/>
        <v>0</v>
      </c>
      <c r="R114" s="306">
        <f t="shared" ca="1" si="49"/>
        <v>0</v>
      </c>
      <c r="S114" s="307">
        <f t="shared" ca="1" si="50"/>
        <v>4.0843000000000034</v>
      </c>
      <c r="T114" s="304">
        <f t="shared" ca="1" si="30"/>
        <v>40.066983000000036</v>
      </c>
      <c r="U114" s="311">
        <f t="shared" ca="1" si="31"/>
        <v>0</v>
      </c>
      <c r="V114" s="306">
        <f t="shared" ca="1" si="32"/>
        <v>1.0986479631255615</v>
      </c>
      <c r="W114" s="304">
        <f t="shared" ca="1" si="33"/>
        <v>34.662512641486138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1087.5316646888368</v>
      </c>
      <c r="AG114" s="306">
        <f t="shared" ca="1" si="56"/>
        <v>-18.165484851517132</v>
      </c>
      <c r="AH114" s="304">
        <f t="shared" ca="1" si="57"/>
        <v>-8.5089949735682922</v>
      </c>
    </row>
    <row r="115" spans="1:34" x14ac:dyDescent="0.2">
      <c r="A115" s="347">
        <f t="shared" ca="1" si="35"/>
        <v>0.01</v>
      </c>
      <c r="B115" s="304">
        <f t="shared" ca="1" si="36"/>
        <v>7.709999999999976</v>
      </c>
      <c r="D115" s="306">
        <f t="shared" ca="1" si="37"/>
        <v>-1.4964801307985651</v>
      </c>
      <c r="E115" s="307">
        <f t="shared" ca="1" si="38"/>
        <v>-18.163789777731807</v>
      </c>
      <c r="F115" s="304">
        <f t="shared" ca="1" si="39"/>
        <v>18.225331598396483</v>
      </c>
      <c r="G115" s="306">
        <f t="shared" ca="1" si="40"/>
        <v>25.902960614949265</v>
      </c>
      <c r="H115" s="307">
        <f t="shared" ca="1" si="41"/>
        <v>144.49980220046686</v>
      </c>
      <c r="I115" s="304">
        <f t="shared" ca="1" si="42"/>
        <v>146.80312055468596</v>
      </c>
      <c r="J115" s="306">
        <f t="shared" ca="1" si="43"/>
        <v>138.43242078893826</v>
      </c>
      <c r="K115" s="307">
        <f t="shared" ca="1" si="44"/>
        <v>1088.9775709003304</v>
      </c>
      <c r="L115" s="304">
        <f t="shared" ca="1" si="29"/>
        <v>1097.7411739793083</v>
      </c>
      <c r="M115" s="306">
        <f t="shared" ca="1" si="45"/>
        <v>1.3934207530558806</v>
      </c>
      <c r="N115" s="304">
        <f t="shared" ca="1" si="46"/>
        <v>79.837128236042872</v>
      </c>
      <c r="P115" s="310">
        <f t="shared" ca="1" si="47"/>
        <v>13</v>
      </c>
      <c r="Q115" s="304">
        <f t="shared" ca="1" si="48"/>
        <v>0</v>
      </c>
      <c r="R115" s="306">
        <f t="shared" ca="1" si="49"/>
        <v>0</v>
      </c>
      <c r="S115" s="307">
        <f t="shared" ca="1" si="50"/>
        <v>4.0843000000000034</v>
      </c>
      <c r="T115" s="304">
        <f t="shared" ca="1" si="30"/>
        <v>40.066983000000036</v>
      </c>
      <c r="U115" s="311">
        <f t="shared" ca="1" si="31"/>
        <v>0</v>
      </c>
      <c r="V115" s="306">
        <f t="shared" ca="1" si="32"/>
        <v>1.0984886487627905</v>
      </c>
      <c r="W115" s="304">
        <f t="shared" ca="1" si="33"/>
        <v>34.571980512273974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1088.9775709003304</v>
      </c>
      <c r="AG115" s="306">
        <f t="shared" ca="1" si="56"/>
        <v>-18.143055997162975</v>
      </c>
      <c r="AH115" s="304">
        <f t="shared" ca="1" si="57"/>
        <v>-8.4867694933002245</v>
      </c>
    </row>
    <row r="116" spans="1:34" x14ac:dyDescent="0.2">
      <c r="A116" s="347">
        <f t="shared" ca="1" si="35"/>
        <v>0.01</v>
      </c>
      <c r="B116" s="304">
        <f t="shared" ca="1" si="36"/>
        <v>7.7199999999999758</v>
      </c>
      <c r="D116" s="306">
        <f t="shared" ca="1" si="37"/>
        <v>-1.4935533592618344</v>
      </c>
      <c r="E116" s="307">
        <f t="shared" ca="1" si="38"/>
        <v>-18.14179527998138</v>
      </c>
      <c r="F116" s="304">
        <f t="shared" ca="1" si="39"/>
        <v>18.203171086866075</v>
      </c>
      <c r="G116" s="306">
        <f t="shared" ca="1" si="40"/>
        <v>25.888025081356648</v>
      </c>
      <c r="H116" s="307">
        <f t="shared" ca="1" si="41"/>
        <v>144.31838424766704</v>
      </c>
      <c r="I116" s="304">
        <f t="shared" ca="1" si="42"/>
        <v>146.6219147142412</v>
      </c>
      <c r="J116" s="306">
        <f t="shared" ca="1" si="43"/>
        <v>138.69137571741979</v>
      </c>
      <c r="K116" s="307">
        <f t="shared" ca="1" si="44"/>
        <v>1090.4216618325711</v>
      </c>
      <c r="L116" s="304">
        <f t="shared" ca="1" si="29"/>
        <v>1099.2063947649215</v>
      </c>
      <c r="M116" s="306">
        <f t="shared" ca="1" si="45"/>
        <v>1.3933026980955396</v>
      </c>
      <c r="N116" s="304">
        <f t="shared" ca="1" si="46"/>
        <v>79.830364185064738</v>
      </c>
      <c r="P116" s="310">
        <f t="shared" ca="1" si="47"/>
        <v>13</v>
      </c>
      <c r="Q116" s="304">
        <f t="shared" ca="1" si="48"/>
        <v>0</v>
      </c>
      <c r="R116" s="306">
        <f t="shared" ca="1" si="49"/>
        <v>0</v>
      </c>
      <c r="S116" s="307">
        <f t="shared" ca="1" si="50"/>
        <v>4.0843000000000034</v>
      </c>
      <c r="T116" s="304">
        <f t="shared" ca="1" si="30"/>
        <v>40.066983000000036</v>
      </c>
      <c r="U116" s="311">
        <f t="shared" ca="1" si="31"/>
        <v>0</v>
      </c>
      <c r="V116" s="306">
        <f t="shared" ca="1" si="32"/>
        <v>1.0983295562162951</v>
      </c>
      <c r="W116" s="304">
        <f t="shared" ca="1" si="33"/>
        <v>34.481690959190772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1090.4216618325711</v>
      </c>
      <c r="AG116" s="306">
        <f t="shared" ca="1" si="56"/>
        <v>-18.120686217763406</v>
      </c>
      <c r="AH116" s="304">
        <f t="shared" ca="1" si="57"/>
        <v>-8.4646036070499093</v>
      </c>
    </row>
    <row r="117" spans="1:34" x14ac:dyDescent="0.2">
      <c r="A117" s="347">
        <f t="shared" ca="1" si="35"/>
        <v>0.01</v>
      </c>
      <c r="B117" s="304">
        <f t="shared" ca="1" si="36"/>
        <v>7.7299999999999756</v>
      </c>
      <c r="D117" s="306">
        <f t="shared" ca="1" si="37"/>
        <v>-1.4906337667201182</v>
      </c>
      <c r="E117" s="307">
        <f t="shared" ca="1" si="38"/>
        <v>-18.119859714752245</v>
      </c>
      <c r="F117" s="304">
        <f t="shared" ca="1" si="39"/>
        <v>18.181069966005509</v>
      </c>
      <c r="G117" s="306">
        <f t="shared" ca="1" si="40"/>
        <v>25.873118743689446</v>
      </c>
      <c r="H117" s="307">
        <f t="shared" ca="1" si="41"/>
        <v>144.13718565051951</v>
      </c>
      <c r="I117" s="304">
        <f t="shared" ca="1" si="42"/>
        <v>146.44093198548478</v>
      </c>
      <c r="J117" s="306">
        <f t="shared" ca="1" si="43"/>
        <v>138.95018143654502</v>
      </c>
      <c r="K117" s="307">
        <f t="shared" ca="1" si="44"/>
        <v>1091.863939682062</v>
      </c>
      <c r="L117" s="304">
        <f t="shared" ca="1" si="29"/>
        <v>1100.669803210428</v>
      </c>
      <c r="M117" s="306">
        <f t="shared" ca="1" si="45"/>
        <v>1.3931844193912464</v>
      </c>
      <c r="N117" s="304">
        <f t="shared" ca="1" si="46"/>
        <v>79.823587314502461</v>
      </c>
      <c r="P117" s="310">
        <f t="shared" ca="1" si="47"/>
        <v>13</v>
      </c>
      <c r="Q117" s="304">
        <f t="shared" ca="1" si="48"/>
        <v>0</v>
      </c>
      <c r="R117" s="306">
        <f t="shared" ca="1" si="49"/>
        <v>0</v>
      </c>
      <c r="S117" s="307">
        <f t="shared" ca="1" si="50"/>
        <v>4.0843000000000034</v>
      </c>
      <c r="T117" s="304">
        <f t="shared" ca="1" si="30"/>
        <v>40.066983000000036</v>
      </c>
      <c r="U117" s="311">
        <f t="shared" ca="1" si="31"/>
        <v>0</v>
      </c>
      <c r="V117" s="306">
        <f t="shared" ca="1" si="32"/>
        <v>1.0981706851575028</v>
      </c>
      <c r="W117" s="304">
        <f t="shared" ca="1" si="33"/>
        <v>34.391643162104579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1091.863939682062</v>
      </c>
      <c r="AG117" s="306">
        <f t="shared" ca="1" si="56"/>
        <v>-18.098375309988107</v>
      </c>
      <c r="AH117" s="304">
        <f t="shared" ca="1" si="57"/>
        <v>-8.4424971131382964</v>
      </c>
    </row>
    <row r="118" spans="1:34" x14ac:dyDescent="0.2">
      <c r="A118" s="347">
        <f t="shared" ca="1" si="35"/>
        <v>0.01</v>
      </c>
      <c r="B118" s="304">
        <f t="shared" ca="1" si="36"/>
        <v>7.7399999999999753</v>
      </c>
      <c r="D118" s="306">
        <f t="shared" ca="1" si="37"/>
        <v>-1.4877213281514496</v>
      </c>
      <c r="E118" s="307">
        <f t="shared" ca="1" si="38"/>
        <v>-18.097982882786589</v>
      </c>
      <c r="F118" s="304">
        <f t="shared" ca="1" si="39"/>
        <v>18.159028034998819</v>
      </c>
      <c r="G118" s="306">
        <f t="shared" ca="1" si="40"/>
        <v>25.85824153040793</v>
      </c>
      <c r="H118" s="307">
        <f t="shared" ca="1" si="41"/>
        <v>143.95620582169164</v>
      </c>
      <c r="I118" s="304">
        <f t="shared" ca="1" si="42"/>
        <v>146.26017178173339</v>
      </c>
      <c r="J118" s="306">
        <f t="shared" ca="1" si="43"/>
        <v>139.2088382379155</v>
      </c>
      <c r="K118" s="307">
        <f t="shared" ca="1" si="44"/>
        <v>1093.304406639423</v>
      </c>
      <c r="L118" s="304">
        <f t="shared" ca="1" si="29"/>
        <v>1102.1314015219468</v>
      </c>
      <c r="M118" s="306">
        <f t="shared" ca="1" si="45"/>
        <v>1.3930659164235129</v>
      </c>
      <c r="N118" s="304">
        <f t="shared" ca="1" si="46"/>
        <v>79.816797594591563</v>
      </c>
      <c r="P118" s="310">
        <f t="shared" ca="1" si="47"/>
        <v>13</v>
      </c>
      <c r="Q118" s="304">
        <f t="shared" ca="1" si="48"/>
        <v>0</v>
      </c>
      <c r="R118" s="306">
        <f t="shared" ca="1" si="49"/>
        <v>0</v>
      </c>
      <c r="S118" s="307">
        <f t="shared" ca="1" si="50"/>
        <v>4.0843000000000034</v>
      </c>
      <c r="T118" s="304">
        <f t="shared" ca="1" si="30"/>
        <v>40.066983000000036</v>
      </c>
      <c r="U118" s="311">
        <f t="shared" ca="1" si="31"/>
        <v>0</v>
      </c>
      <c r="V118" s="306">
        <f t="shared" ca="1" si="32"/>
        <v>1.0980120352587595</v>
      </c>
      <c r="W118" s="304">
        <f t="shared" ca="1" si="33"/>
        <v>34.301836304450532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1093.304406639423</v>
      </c>
      <c r="AG118" s="306">
        <f t="shared" ca="1" si="56"/>
        <v>-18.076123071377992</v>
      </c>
      <c r="AH118" s="304">
        <f t="shared" ca="1" si="57"/>
        <v>-8.4204498107642802</v>
      </c>
    </row>
    <row r="119" spans="1:34" x14ac:dyDescent="0.2">
      <c r="A119" s="347">
        <f t="shared" ca="1" si="35"/>
        <v>0.01</v>
      </c>
      <c r="B119" s="304">
        <f t="shared" ca="1" si="36"/>
        <v>7.7499999999999751</v>
      </c>
      <c r="D119" s="306">
        <f t="shared" ca="1" si="37"/>
        <v>-1.4848160186419099</v>
      </c>
      <c r="E119" s="307">
        <f t="shared" ca="1" si="38"/>
        <v>-18.07616458569322</v>
      </c>
      <c r="F119" s="304">
        <f t="shared" ca="1" si="39"/>
        <v>18.137045093903399</v>
      </c>
      <c r="G119" s="306">
        <f t="shared" ca="1" si="40"/>
        <v>25.843393370221513</v>
      </c>
      <c r="H119" s="307">
        <f t="shared" ca="1" si="41"/>
        <v>143.77544417583471</v>
      </c>
      <c r="I119" s="304">
        <f t="shared" ca="1" si="42"/>
        <v>146.07963351831964</v>
      </c>
      <c r="J119" s="306">
        <f t="shared" ca="1" si="43"/>
        <v>139.46734641241864</v>
      </c>
      <c r="K119" s="307">
        <f t="shared" ca="1" si="44"/>
        <v>1094.7430648894106</v>
      </c>
      <c r="L119" s="304">
        <f t="shared" ca="1" si="29"/>
        <v>1103.5911918997822</v>
      </c>
      <c r="M119" s="306">
        <f t="shared" ca="1" si="45"/>
        <v>1.3929471886711393</v>
      </c>
      <c r="N119" s="304">
        <f t="shared" ca="1" si="46"/>
        <v>79.809994995469481</v>
      </c>
      <c r="P119" s="310">
        <f t="shared" ca="1" si="47"/>
        <v>13</v>
      </c>
      <c r="Q119" s="304">
        <f t="shared" ca="1" si="48"/>
        <v>0</v>
      </c>
      <c r="R119" s="306">
        <f t="shared" ca="1" si="49"/>
        <v>0</v>
      </c>
      <c r="S119" s="307">
        <f t="shared" ca="1" si="50"/>
        <v>4.0843000000000034</v>
      </c>
      <c r="T119" s="304">
        <f t="shared" ca="1" si="30"/>
        <v>40.066983000000036</v>
      </c>
      <c r="U119" s="311">
        <f t="shared" ca="1" si="31"/>
        <v>0</v>
      </c>
      <c r="V119" s="306">
        <f t="shared" ca="1" si="32"/>
        <v>1.0978536061933251</v>
      </c>
      <c r="W119" s="304">
        <f t="shared" ca="1" si="33"/>
        <v>34.212269573212154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1094.7430648894106</v>
      </c>
      <c r="AG119" s="306">
        <f t="shared" ca="1" si="56"/>
        <v>-18.053929300340613</v>
      </c>
      <c r="AH119" s="304">
        <f t="shared" ca="1" si="57"/>
        <v>-8.3984615000001241</v>
      </c>
    </row>
    <row r="120" spans="1:34" x14ac:dyDescent="0.2">
      <c r="A120" s="347">
        <f t="shared" ca="1" si="35"/>
        <v>0.01</v>
      </c>
      <c r="B120" s="304">
        <f t="shared" ca="1" si="36"/>
        <v>7.7599999999999749</v>
      </c>
      <c r="D120" s="306">
        <f t="shared" ca="1" si="37"/>
        <v>-1.481917813385061</v>
      </c>
      <c r="E120" s="307">
        <f t="shared" ca="1" si="38"/>
        <v>-18.054404625943</v>
      </c>
      <c r="F120" s="304">
        <f t="shared" ca="1" si="39"/>
        <v>18.115120943645394</v>
      </c>
      <c r="G120" s="306">
        <f t="shared" ca="1" si="40"/>
        <v>25.828574192087661</v>
      </c>
      <c r="H120" s="307">
        <f t="shared" ca="1" si="41"/>
        <v>143.59490012957528</v>
      </c>
      <c r="I120" s="304">
        <f t="shared" ca="1" si="42"/>
        <v>145.89931661258348</v>
      </c>
      <c r="J120" s="306">
        <f t="shared" ca="1" si="43"/>
        <v>139.72570625023019</v>
      </c>
      <c r="K120" s="307">
        <f t="shared" ca="1" si="44"/>
        <v>1096.1799166109377</v>
      </c>
      <c r="L120" s="304">
        <f t="shared" ca="1" si="29"/>
        <v>1105.0491765384415</v>
      </c>
      <c r="M120" s="306">
        <f t="shared" ca="1" si="45"/>
        <v>1.3928282356112076</v>
      </c>
      <c r="N120" s="304">
        <f t="shared" ca="1" si="46"/>
        <v>79.803179487175228</v>
      </c>
      <c r="P120" s="310">
        <f t="shared" ca="1" si="47"/>
        <v>13</v>
      </c>
      <c r="Q120" s="304">
        <f t="shared" ca="1" si="48"/>
        <v>0</v>
      </c>
      <c r="R120" s="306">
        <f t="shared" ca="1" si="49"/>
        <v>0</v>
      </c>
      <c r="S120" s="307">
        <f t="shared" ca="1" si="50"/>
        <v>4.0843000000000034</v>
      </c>
      <c r="T120" s="304">
        <f t="shared" ca="1" si="30"/>
        <v>40.066983000000036</v>
      </c>
      <c r="U120" s="311">
        <f t="shared" ca="1" si="31"/>
        <v>0</v>
      </c>
      <c r="V120" s="306">
        <f t="shared" ca="1" si="32"/>
        <v>1.0976953976353725</v>
      </c>
      <c r="W120" s="304">
        <f t="shared" ca="1" si="33"/>
        <v>34.122942158903072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1096.1799166109377</v>
      </c>
      <c r="AG120" s="306">
        <f t="shared" ca="1" si="56"/>
        <v>-18.031793796145529</v>
      </c>
      <c r="AH120" s="304">
        <f t="shared" ca="1" si="57"/>
        <v>-8.376531981786874</v>
      </c>
    </row>
    <row r="121" spans="1:34" x14ac:dyDescent="0.2">
      <c r="A121" s="347">
        <f t="shared" ca="1" si="35"/>
        <v>0.01</v>
      </c>
      <c r="B121" s="304">
        <f t="shared" ca="1" si="36"/>
        <v>7.7699999999999747</v>
      </c>
      <c r="D121" s="306">
        <f t="shared" ca="1" si="37"/>
        <v>-1.4790266876813902</v>
      </c>
      <c r="E121" s="307">
        <f t="shared" ca="1" si="38"/>
        <v>-18.032702806864442</v>
      </c>
      <c r="F121" s="304">
        <f t="shared" ca="1" si="39"/>
        <v>18.093255386015269</v>
      </c>
      <c r="G121" s="306">
        <f t="shared" ca="1" si="40"/>
        <v>25.813783925210846</v>
      </c>
      <c r="H121" s="307">
        <f t="shared" ca="1" si="41"/>
        <v>143.41457310150665</v>
      </c>
      <c r="I121" s="304">
        <f t="shared" ca="1" si="42"/>
        <v>145.71922048386364</v>
      </c>
      <c r="J121" s="306">
        <f t="shared" ca="1" si="43"/>
        <v>139.98391804081669</v>
      </c>
      <c r="K121" s="307">
        <f t="shared" ca="1" si="44"/>
        <v>1097.6149639770931</v>
      </c>
      <c r="L121" s="304">
        <f t="shared" ca="1" si="29"/>
        <v>1106.5053576266557</v>
      </c>
      <c r="M121" s="306">
        <f t="shared" ca="1" si="45"/>
        <v>1.3927090567190747</v>
      </c>
      <c r="N121" s="304">
        <f t="shared" ca="1" si="46"/>
        <v>79.796351039648968</v>
      </c>
      <c r="P121" s="310">
        <f t="shared" ca="1" si="47"/>
        <v>13</v>
      </c>
      <c r="Q121" s="304">
        <f t="shared" ca="1" si="48"/>
        <v>0</v>
      </c>
      <c r="R121" s="306">
        <f t="shared" ca="1" si="49"/>
        <v>0</v>
      </c>
      <c r="S121" s="307">
        <f t="shared" ca="1" si="50"/>
        <v>4.0843000000000034</v>
      </c>
      <c r="T121" s="304">
        <f t="shared" ca="1" si="30"/>
        <v>40.066983000000036</v>
      </c>
      <c r="U121" s="311">
        <f t="shared" ca="1" si="31"/>
        <v>0</v>
      </c>
      <c r="V121" s="306">
        <f t="shared" ca="1" si="32"/>
        <v>1.0975374092599828</v>
      </c>
      <c r="W121" s="304">
        <f t="shared" ca="1" si="33"/>
        <v>34.033853255548536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1097.6149639770931</v>
      </c>
      <c r="AG121" s="306">
        <f t="shared" ca="1" si="56"/>
        <v>-18.009716358919825</v>
      </c>
      <c r="AH121" s="304">
        <f t="shared" ca="1" si="57"/>
        <v>-8.3546610579298886</v>
      </c>
    </row>
    <row r="122" spans="1:34" x14ac:dyDescent="0.2">
      <c r="A122" s="347">
        <f t="shared" ca="1" si="35"/>
        <v>0.01</v>
      </c>
      <c r="B122" s="304">
        <f t="shared" ca="1" si="36"/>
        <v>7.7799999999999745</v>
      </c>
      <c r="D122" s="306">
        <f t="shared" ca="1" si="37"/>
        <v>-1.4761426169377485</v>
      </c>
      <c r="E122" s="307">
        <f t="shared" ca="1" si="38"/>
        <v>-18.01105893263918</v>
      </c>
      <c r="F122" s="304">
        <f t="shared" ca="1" si="39"/>
        <v>18.071448223663243</v>
      </c>
      <c r="G122" s="306">
        <f t="shared" ca="1" si="40"/>
        <v>25.799022499041467</v>
      </c>
      <c r="H122" s="307">
        <f t="shared" ca="1" si="41"/>
        <v>143.23446251218024</v>
      </c>
      <c r="I122" s="304">
        <f t="shared" ca="1" si="42"/>
        <v>145.53934455348909</v>
      </c>
      <c r="J122" s="306">
        <f t="shared" ca="1" si="43"/>
        <v>140.24198207293796</v>
      </c>
      <c r="K122" s="307">
        <f t="shared" ca="1" si="44"/>
        <v>1099.0482091551617</v>
      </c>
      <c r="L122" s="304">
        <f t="shared" ca="1" si="29"/>
        <v>1107.9597373473975</v>
      </c>
      <c r="M122" s="306">
        <f t="shared" ca="1" si="45"/>
        <v>1.3925896514683653</v>
      </c>
      <c r="N122" s="304">
        <f t="shared" ca="1" si="46"/>
        <v>79.789509622731615</v>
      </c>
      <c r="P122" s="310">
        <f t="shared" ca="1" si="47"/>
        <v>13</v>
      </c>
      <c r="Q122" s="304">
        <f t="shared" ca="1" si="48"/>
        <v>0</v>
      </c>
      <c r="R122" s="306">
        <f t="shared" ca="1" si="49"/>
        <v>0</v>
      </c>
      <c r="S122" s="307">
        <f t="shared" ca="1" si="50"/>
        <v>4.0843000000000034</v>
      </c>
      <c r="T122" s="304">
        <f t="shared" ca="1" si="30"/>
        <v>40.066983000000036</v>
      </c>
      <c r="U122" s="311">
        <f t="shared" ca="1" si="31"/>
        <v>0</v>
      </c>
      <c r="V122" s="306">
        <f t="shared" ca="1" si="32"/>
        <v>1.0973796407431424</v>
      </c>
      <c r="W122" s="304">
        <f t="shared" ca="1" si="33"/>
        <v>33.945002060667299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1099.0482091551617</v>
      </c>
      <c r="AG122" s="306">
        <f t="shared" ca="1" si="56"/>
        <v>-17.987696789643529</v>
      </c>
      <c r="AH122" s="304">
        <f t="shared" ca="1" si="57"/>
        <v>-8.3328485310943137</v>
      </c>
    </row>
    <row r="123" spans="1:34" x14ac:dyDescent="0.2">
      <c r="A123" s="347">
        <f t="shared" ca="1" si="35"/>
        <v>0.01</v>
      </c>
      <c r="B123" s="304">
        <f t="shared" ca="1" si="36"/>
        <v>7.7899999999999743</v>
      </c>
      <c r="D123" s="306">
        <f t="shared" ca="1" si="37"/>
        <v>-1.473265576666805</v>
      </c>
      <c r="E123" s="307">
        <f t="shared" ca="1" si="38"/>
        <v>-17.989472808297577</v>
      </c>
      <c r="F123" s="304">
        <f t="shared" ca="1" si="39"/>
        <v>18.049699260094869</v>
      </c>
      <c r="G123" s="306">
        <f t="shared" ca="1" si="40"/>
        <v>25.784289843274799</v>
      </c>
      <c r="H123" s="307">
        <f t="shared" ca="1" si="41"/>
        <v>143.05456778409726</v>
      </c>
      <c r="I123" s="304">
        <f t="shared" ca="1" si="42"/>
        <v>145.35968824477052</v>
      </c>
      <c r="J123" s="306">
        <f t="shared" ca="1" si="43"/>
        <v>140.49989863464953</v>
      </c>
      <c r="K123" s="307">
        <f t="shared" ca="1" si="44"/>
        <v>1100.4796543066429</v>
      </c>
      <c r="L123" s="304">
        <f t="shared" ca="1" si="29"/>
        <v>1109.4123178779003</v>
      </c>
      <c r="M123" s="306">
        <f t="shared" ca="1" si="45"/>
        <v>1.3924700193309651</v>
      </c>
      <c r="N123" s="304">
        <f t="shared" ca="1" si="46"/>
        <v>79.782655206164463</v>
      </c>
      <c r="P123" s="310">
        <f t="shared" ca="1" si="47"/>
        <v>13</v>
      </c>
      <c r="Q123" s="304">
        <f t="shared" ca="1" si="48"/>
        <v>0</v>
      </c>
      <c r="R123" s="306">
        <f t="shared" ca="1" si="49"/>
        <v>0</v>
      </c>
      <c r="S123" s="307">
        <f t="shared" ca="1" si="50"/>
        <v>4.0843000000000034</v>
      </c>
      <c r="T123" s="304">
        <f t="shared" ca="1" si="30"/>
        <v>40.066983000000036</v>
      </c>
      <c r="U123" s="311">
        <f t="shared" ca="1" si="31"/>
        <v>0</v>
      </c>
      <c r="V123" s="306">
        <f t="shared" ca="1" si="32"/>
        <v>1.0972220917617395</v>
      </c>
      <c r="W123" s="304">
        <f t="shared" ca="1" si="33"/>
        <v>33.856387775253367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1100.4796543066429</v>
      </c>
      <c r="AG123" s="306">
        <f t="shared" ca="1" si="56"/>
        <v>-17.96573489014515</v>
      </c>
      <c r="AH123" s="304">
        <f t="shared" ca="1" si="57"/>
        <v>-8.3110942048006446</v>
      </c>
    </row>
    <row r="124" spans="1:34" x14ac:dyDescent="0.2">
      <c r="A124" s="347">
        <f t="shared" ca="1" si="35"/>
        <v>0.01</v>
      </c>
      <c r="B124" s="304">
        <f t="shared" ca="1" si="36"/>
        <v>7.7999999999999741</v>
      </c>
      <c r="D124" s="306">
        <f t="shared" ca="1" si="37"/>
        <v>-1.4703955424864901</v>
      </c>
      <c r="E124" s="307">
        <f t="shared" ca="1" si="38"/>
        <v>-17.967944239714321</v>
      </c>
      <c r="F124" s="304">
        <f t="shared" ca="1" si="39"/>
        <v>18.028008299666581</v>
      </c>
      <c r="G124" s="306">
        <f t="shared" ca="1" si="40"/>
        <v>25.769585887849935</v>
      </c>
      <c r="H124" s="307">
        <f t="shared" ca="1" si="41"/>
        <v>142.87488834170011</v>
      </c>
      <c r="I124" s="304">
        <f t="shared" ca="1" si="42"/>
        <v>145.18025098299199</v>
      </c>
      <c r="J124" s="306">
        <f t="shared" ca="1" si="43"/>
        <v>140.75766801330514</v>
      </c>
      <c r="K124" s="307">
        <f t="shared" ca="1" si="44"/>
        <v>1101.909301587272</v>
      </c>
      <c r="L124" s="304">
        <f t="shared" ca="1" si="29"/>
        <v>1110.8631013896777</v>
      </c>
      <c r="M124" s="306">
        <f t="shared" ca="1" si="45"/>
        <v>1.3923501597770145</v>
      </c>
      <c r="N124" s="304">
        <f t="shared" ca="1" si="46"/>
        <v>79.775787759588766</v>
      </c>
      <c r="P124" s="310">
        <f t="shared" ca="1" si="47"/>
        <v>13</v>
      </c>
      <c r="Q124" s="304">
        <f t="shared" ca="1" si="48"/>
        <v>0</v>
      </c>
      <c r="R124" s="306">
        <f t="shared" ca="1" si="49"/>
        <v>0</v>
      </c>
      <c r="S124" s="307">
        <f t="shared" ca="1" si="50"/>
        <v>4.0843000000000034</v>
      </c>
      <c r="T124" s="304">
        <f t="shared" ca="1" si="30"/>
        <v>40.066983000000036</v>
      </c>
      <c r="U124" s="311">
        <f t="shared" ca="1" si="31"/>
        <v>0</v>
      </c>
      <c r="V124" s="306">
        <f t="shared" ca="1" si="32"/>
        <v>1.0970647619935632</v>
      </c>
      <c r="W124" s="304">
        <f t="shared" ca="1" si="33"/>
        <v>33.768009603758173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1101.909301587272</v>
      </c>
      <c r="AG124" s="306">
        <f t="shared" ca="1" si="56"/>
        <v>-17.943830463097182</v>
      </c>
      <c r="AH124" s="304">
        <f t="shared" ca="1" si="57"/>
        <v>-8.2893978834202535</v>
      </c>
    </row>
    <row r="125" spans="1:34" x14ac:dyDescent="0.2">
      <c r="A125" s="347">
        <f t="shared" ca="1" si="35"/>
        <v>0.01</v>
      </c>
      <c r="B125" s="304">
        <f t="shared" ca="1" si="36"/>
        <v>7.8099999999999739</v>
      </c>
      <c r="D125" s="306">
        <f t="shared" ca="1" si="37"/>
        <v>-1.4675324901194542</v>
      </c>
      <c r="E125" s="307">
        <f t="shared" ca="1" si="38"/>
        <v>-17.94647303360404</v>
      </c>
      <c r="F125" s="304">
        <f t="shared" ca="1" si="39"/>
        <v>18.006375147581291</v>
      </c>
      <c r="G125" s="306">
        <f t="shared" ca="1" si="40"/>
        <v>25.754910562948741</v>
      </c>
      <c r="H125" s="307">
        <f t="shared" ca="1" si="41"/>
        <v>142.69542361136408</v>
      </c>
      <c r="I125" s="304">
        <f t="shared" ca="1" si="42"/>
        <v>145.00103219540242</v>
      </c>
      <c r="J125" s="306">
        <f t="shared" ca="1" si="43"/>
        <v>141.01529049555913</v>
      </c>
      <c r="K125" s="307">
        <f t="shared" ca="1" si="44"/>
        <v>1103.3371531470373</v>
      </c>
      <c r="L125" s="304">
        <f t="shared" ca="1" si="29"/>
        <v>1112.3120900485419</v>
      </c>
      <c r="M125" s="306">
        <f t="shared" ca="1" si="45"/>
        <v>1.3922300722749008</v>
      </c>
      <c r="N125" s="304">
        <f t="shared" ca="1" si="46"/>
        <v>79.768907252545389</v>
      </c>
      <c r="P125" s="310">
        <f t="shared" ca="1" si="47"/>
        <v>13</v>
      </c>
      <c r="Q125" s="304">
        <f t="shared" ca="1" si="48"/>
        <v>0</v>
      </c>
      <c r="R125" s="306">
        <f t="shared" ca="1" si="49"/>
        <v>0</v>
      </c>
      <c r="S125" s="307">
        <f t="shared" ca="1" si="50"/>
        <v>4.0843000000000034</v>
      </c>
      <c r="T125" s="304">
        <f t="shared" ca="1" si="30"/>
        <v>40.066983000000036</v>
      </c>
      <c r="U125" s="311">
        <f t="shared" ca="1" si="31"/>
        <v>0</v>
      </c>
      <c r="V125" s="306">
        <f t="shared" ca="1" si="32"/>
        <v>1.0969076511172959</v>
      </c>
      <c r="W125" s="304">
        <f t="shared" ca="1" si="33"/>
        <v>33.679866754072464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1103.3371531470373</v>
      </c>
      <c r="AG125" s="306">
        <f t="shared" ca="1" si="56"/>
        <v>-17.921983312011701</v>
      </c>
      <c r="AH125" s="304">
        <f t="shared" ca="1" si="57"/>
        <v>-8.2677593721710316</v>
      </c>
    </row>
    <row r="126" spans="1:34" x14ac:dyDescent="0.2">
      <c r="A126" s="347">
        <f t="shared" ca="1" si="35"/>
        <v>0.01</v>
      </c>
      <c r="B126" s="304">
        <f t="shared" ca="1" si="36"/>
        <v>7.8199999999999736</v>
      </c>
      <c r="D126" s="306">
        <f t="shared" ca="1" si="37"/>
        <v>-1.4646763953925208</v>
      </c>
      <c r="E126" s="307">
        <f t="shared" ca="1" si="38"/>
        <v>-17.925058997516956</v>
      </c>
      <c r="F126" s="304">
        <f t="shared" ca="1" si="39"/>
        <v>17.984799609884</v>
      </c>
      <c r="G126" s="306">
        <f t="shared" ca="1" si="40"/>
        <v>25.740263798994814</v>
      </c>
      <c r="H126" s="307">
        <f t="shared" ca="1" si="41"/>
        <v>142.51617302138891</v>
      </c>
      <c r="I126" s="304">
        <f t="shared" ca="1" si="42"/>
        <v>144.8220313112073</v>
      </c>
      <c r="J126" s="306">
        <f t="shared" ca="1" si="43"/>
        <v>141.27276636736886</v>
      </c>
      <c r="K126" s="307">
        <f t="shared" ca="1" si="44"/>
        <v>1104.7632111302009</v>
      </c>
      <c r="L126" s="304">
        <f t="shared" ca="1" si="29"/>
        <v>1113.7592860146226</v>
      </c>
      <c r="M126" s="306">
        <f t="shared" ca="1" si="45"/>
        <v>1.3921097562912519</v>
      </c>
      <c r="N126" s="304">
        <f t="shared" ca="1" si="46"/>
        <v>79.76201365447433</v>
      </c>
      <c r="P126" s="310">
        <f t="shared" ca="1" si="47"/>
        <v>13</v>
      </c>
      <c r="Q126" s="304">
        <f t="shared" ca="1" si="48"/>
        <v>0</v>
      </c>
      <c r="R126" s="306">
        <f t="shared" ca="1" si="49"/>
        <v>0</v>
      </c>
      <c r="S126" s="307">
        <f t="shared" ca="1" si="50"/>
        <v>4.0843000000000034</v>
      </c>
      <c r="T126" s="304">
        <f t="shared" ca="1" si="30"/>
        <v>40.066983000000036</v>
      </c>
      <c r="U126" s="311">
        <f t="shared" ca="1" si="31"/>
        <v>0</v>
      </c>
      <c r="V126" s="306">
        <f t="shared" ca="1" si="32"/>
        <v>1.0967507588125154</v>
      </c>
      <c r="W126" s="304">
        <f t="shared" ca="1" si="33"/>
        <v>33.59195843750868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1104.7632111302009</v>
      </c>
      <c r="AG126" s="306">
        <f t="shared" ca="1" si="56"/>
        <v>-17.900193241235904</v>
      </c>
      <c r="AH126" s="304">
        <f t="shared" ca="1" si="57"/>
        <v>-8.246178477112954</v>
      </c>
    </row>
    <row r="127" spans="1:34" x14ac:dyDescent="0.2">
      <c r="A127" s="347">
        <f t="shared" ca="1" si="35"/>
        <v>0.01</v>
      </c>
      <c r="B127" s="304">
        <f t="shared" ca="1" si="36"/>
        <v>7.8299999999999734</v>
      </c>
      <c r="D127" s="306">
        <f t="shared" ca="1" si="37"/>
        <v>-1.4618272342361502</v>
      </c>
      <c r="E127" s="307">
        <f t="shared" ca="1" si="38"/>
        <v>-17.903701939834562</v>
      </c>
      <c r="F127" s="304">
        <f t="shared" ca="1" si="39"/>
        <v>17.963281493457433</v>
      </c>
      <c r="G127" s="306">
        <f t="shared" ca="1" si="40"/>
        <v>25.725645526652453</v>
      </c>
      <c r="H127" s="307">
        <f t="shared" ca="1" si="41"/>
        <v>142.33713600199056</v>
      </c>
      <c r="I127" s="304">
        <f t="shared" ca="1" si="42"/>
        <v>144.64324776156033</v>
      </c>
      <c r="J127" s="306">
        <f t="shared" ca="1" si="43"/>
        <v>141.53009591399709</v>
      </c>
      <c r="K127" s="307">
        <f t="shared" ca="1" si="44"/>
        <v>1106.187477675318</v>
      </c>
      <c r="L127" s="304">
        <f t="shared" ca="1" si="29"/>
        <v>1115.2046914423859</v>
      </c>
      <c r="M127" s="306">
        <f t="shared" ca="1" si="45"/>
        <v>1.3919892112909289</v>
      </c>
      <c r="N127" s="304">
        <f t="shared" ca="1" si="46"/>
        <v>79.755106934714419</v>
      </c>
      <c r="P127" s="310">
        <f t="shared" ca="1" si="47"/>
        <v>13</v>
      </c>
      <c r="Q127" s="304">
        <f t="shared" ca="1" si="48"/>
        <v>0</v>
      </c>
      <c r="R127" s="306">
        <f t="shared" ca="1" si="49"/>
        <v>0</v>
      </c>
      <c r="S127" s="307">
        <f t="shared" ca="1" si="50"/>
        <v>4.0843000000000034</v>
      </c>
      <c r="T127" s="304">
        <f t="shared" ca="1" si="30"/>
        <v>40.066983000000036</v>
      </c>
      <c r="U127" s="311">
        <f t="shared" ca="1" si="31"/>
        <v>0</v>
      </c>
      <c r="V127" s="306">
        <f t="shared" ca="1" si="32"/>
        <v>1.0965940847596873</v>
      </c>
      <c r="W127" s="304">
        <f t="shared" ca="1" si="33"/>
        <v>33.504283868783141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1106.187477675318</v>
      </c>
      <c r="AG127" s="306">
        <f t="shared" ca="1" si="56"/>
        <v>-17.878460055947741</v>
      </c>
      <c r="AH127" s="304">
        <f t="shared" ca="1" si="57"/>
        <v>-8.2246550051437577</v>
      </c>
    </row>
    <row r="128" spans="1:34" x14ac:dyDescent="0.2">
      <c r="A128" s="347">
        <f t="shared" ca="1" si="35"/>
        <v>0.01</v>
      </c>
      <c r="B128" s="304">
        <f t="shared" ca="1" si="36"/>
        <v>7.8399999999999732</v>
      </c>
      <c r="D128" s="306">
        <f t="shared" ca="1" si="37"/>
        <v>-1.4589849826839005</v>
      </c>
      <c r="E128" s="307">
        <f t="shared" ca="1" si="38"/>
        <v>-17.882401669765326</v>
      </c>
      <c r="F128" s="304">
        <f t="shared" ca="1" si="39"/>
        <v>17.941820606017743</v>
      </c>
      <c r="G128" s="306">
        <f t="shared" ca="1" si="40"/>
        <v>25.711055676825616</v>
      </c>
      <c r="H128" s="307">
        <f t="shared" ca="1" si="41"/>
        <v>142.1583119852929</v>
      </c>
      <c r="I128" s="304">
        <f t="shared" ca="1" si="42"/>
        <v>144.46468097955534</v>
      </c>
      <c r="J128" s="306">
        <f t="shared" ca="1" si="43"/>
        <v>141.78727942001447</v>
      </c>
      <c r="K128" s="307">
        <f t="shared" ca="1" si="44"/>
        <v>1107.6099549152543</v>
      </c>
      <c r="L128" s="304">
        <f t="shared" ca="1" si="29"/>
        <v>1116.6483084806518</v>
      </c>
      <c r="M128" s="306">
        <f t="shared" ca="1" si="45"/>
        <v>1.39186843673702</v>
      </c>
      <c r="N128" s="304">
        <f t="shared" ca="1" si="46"/>
        <v>79.748187062502865</v>
      </c>
      <c r="P128" s="310">
        <f t="shared" ca="1" si="47"/>
        <v>13</v>
      </c>
      <c r="Q128" s="304">
        <f t="shared" ca="1" si="48"/>
        <v>0</v>
      </c>
      <c r="R128" s="306">
        <f t="shared" ca="1" si="49"/>
        <v>0</v>
      </c>
      <c r="S128" s="307">
        <f t="shared" ca="1" si="50"/>
        <v>4.0843000000000034</v>
      </c>
      <c r="T128" s="304">
        <f t="shared" ca="1" si="30"/>
        <v>40.066983000000036</v>
      </c>
      <c r="U128" s="311">
        <f t="shared" ca="1" si="31"/>
        <v>0</v>
      </c>
      <c r="V128" s="306">
        <f t="shared" ca="1" si="32"/>
        <v>1.0964376286401649</v>
      </c>
      <c r="W128" s="304">
        <f t="shared" ca="1" si="33"/>
        <v>33.416842265998632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1107.6099549152543</v>
      </c>
      <c r="AG128" s="306">
        <f t="shared" ca="1" si="56"/>
        <v>-17.856783562151556</v>
      </c>
      <c r="AH128" s="304">
        <f t="shared" ca="1" si="57"/>
        <v>-8.2031887639945928</v>
      </c>
    </row>
    <row r="129" spans="1:34" x14ac:dyDescent="0.2">
      <c r="A129" s="347">
        <f t="shared" ca="1" si="35"/>
        <v>0.01</v>
      </c>
      <c r="B129" s="304">
        <f t="shared" ca="1" si="36"/>
        <v>7.849999999999973</v>
      </c>
      <c r="D129" s="306">
        <f t="shared" ca="1" si="37"/>
        <v>-1.4561496168718941</v>
      </c>
      <c r="E129" s="307">
        <f t="shared" ca="1" si="38"/>
        <v>-17.861157997340428</v>
      </c>
      <c r="F129" s="304">
        <f t="shared" ca="1" si="39"/>
        <v>17.920416756110168</v>
      </c>
      <c r="G129" s="306">
        <f t="shared" ca="1" si="40"/>
        <v>25.696494180656899</v>
      </c>
      <c r="H129" s="307">
        <f t="shared" ca="1" si="41"/>
        <v>141.97970040531951</v>
      </c>
      <c r="I129" s="304">
        <f t="shared" ca="1" si="42"/>
        <v>144.28633040021779</v>
      </c>
      <c r="J129" s="306">
        <f t="shared" ca="1" si="43"/>
        <v>142.04431716930188</v>
      </c>
      <c r="K129" s="307">
        <f t="shared" ca="1" si="44"/>
        <v>1109.0306449772074</v>
      </c>
      <c r="L129" s="304">
        <f t="shared" ca="1" si="29"/>
        <v>1118.0901392726141</v>
      </c>
      <c r="M129" s="306">
        <f t="shared" ca="1" si="45"/>
        <v>1.3917474320908316</v>
      </c>
      <c r="N129" s="304">
        <f t="shared" ca="1" si="46"/>
        <v>79.741254006974799</v>
      </c>
      <c r="P129" s="310">
        <f t="shared" ca="1" si="47"/>
        <v>13</v>
      </c>
      <c r="Q129" s="304">
        <f t="shared" ca="1" si="48"/>
        <v>0</v>
      </c>
      <c r="R129" s="306">
        <f t="shared" ca="1" si="49"/>
        <v>0</v>
      </c>
      <c r="S129" s="307">
        <f t="shared" ca="1" si="50"/>
        <v>4.0843000000000034</v>
      </c>
      <c r="T129" s="304">
        <f t="shared" ca="1" si="30"/>
        <v>40.066983000000036</v>
      </c>
      <c r="U129" s="311">
        <f t="shared" ca="1" si="31"/>
        <v>0</v>
      </c>
      <c r="V129" s="306">
        <f t="shared" ca="1" si="32"/>
        <v>1.0962813901361841</v>
      </c>
      <c r="W129" s="304">
        <f t="shared" ca="1" si="33"/>
        <v>33.329632850626723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1109.0306449772074</v>
      </c>
      <c r="AG129" s="306">
        <f t="shared" ca="1" si="56"/>
        <v>-17.835163566673749</v>
      </c>
      <c r="AH129" s="304">
        <f t="shared" ca="1" si="57"/>
        <v>-8.1817795622257439</v>
      </c>
    </row>
    <row r="130" spans="1:34" x14ac:dyDescent="0.2">
      <c r="A130" s="347">
        <f t="shared" ca="1" si="35"/>
        <v>0.01</v>
      </c>
      <c r="B130" s="304">
        <f t="shared" ca="1" si="36"/>
        <v>7.8599999999999728</v>
      </c>
      <c r="D130" s="306">
        <f t="shared" ca="1" si="37"/>
        <v>-1.4533211130382928</v>
      </c>
      <c r="E130" s="307">
        <f t="shared" ca="1" si="38"/>
        <v>-17.839970733409494</v>
      </c>
      <c r="F130" s="304">
        <f t="shared" ca="1" si="39"/>
        <v>17.899069753104772</v>
      </c>
      <c r="G130" s="306">
        <f t="shared" ca="1" si="40"/>
        <v>25.681960969526514</v>
      </c>
      <c r="H130" s="307">
        <f t="shared" ca="1" si="41"/>
        <v>141.8013006979854</v>
      </c>
      <c r="I130" s="304">
        <f t="shared" ca="1" si="42"/>
        <v>144.10819546049683</v>
      </c>
      <c r="J130" s="306">
        <f t="shared" ca="1" si="43"/>
        <v>142.30120944505279</v>
      </c>
      <c r="K130" s="307">
        <f t="shared" ca="1" si="44"/>
        <v>1110.449549982724</v>
      </c>
      <c r="L130" s="304">
        <f t="shared" ca="1" si="29"/>
        <v>1119.5301859558585</v>
      </c>
      <c r="M130" s="306">
        <f t="shared" ca="1" si="45"/>
        <v>1.3916261968118833</v>
      </c>
      <c r="N130" s="304">
        <f t="shared" ca="1" si="46"/>
        <v>79.734307737162965</v>
      </c>
      <c r="P130" s="310">
        <f t="shared" ca="1" si="47"/>
        <v>13</v>
      </c>
      <c r="Q130" s="304">
        <f t="shared" ca="1" si="48"/>
        <v>0</v>
      </c>
      <c r="R130" s="306">
        <f t="shared" ca="1" si="49"/>
        <v>0</v>
      </c>
      <c r="S130" s="307">
        <f t="shared" ca="1" si="50"/>
        <v>4.0843000000000034</v>
      </c>
      <c r="T130" s="304">
        <f t="shared" ca="1" si="30"/>
        <v>40.066983000000036</v>
      </c>
      <c r="U130" s="311">
        <f t="shared" ca="1" si="31"/>
        <v>0</v>
      </c>
      <c r="V130" s="306">
        <f t="shared" ca="1" si="32"/>
        <v>1.0961253689308621</v>
      </c>
      <c r="W130" s="304">
        <f t="shared" ca="1" si="33"/>
        <v>33.24265484749062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1110.449549982724</v>
      </c>
      <c r="AG130" s="306">
        <f t="shared" ca="1" si="56"/>
        <v>-17.813599877158445</v>
      </c>
      <c r="AH130" s="304">
        <f t="shared" ca="1" si="57"/>
        <v>-8.1604272092223145</v>
      </c>
    </row>
    <row r="131" spans="1:34" x14ac:dyDescent="0.2">
      <c r="A131" s="347">
        <f t="shared" ca="1" si="35"/>
        <v>0.01</v>
      </c>
      <c r="B131" s="304">
        <f t="shared" ca="1" si="36"/>
        <v>7.8699999999999726</v>
      </c>
      <c r="D131" s="306">
        <f t="shared" ca="1" si="37"/>
        <v>-1.4504994475227653</v>
      </c>
      <c r="E131" s="307">
        <f t="shared" ca="1" si="38"/>
        <v>-17.818839689636416</v>
      </c>
      <c r="F131" s="304">
        <f t="shared" ca="1" si="39"/>
        <v>17.877779407192211</v>
      </c>
      <c r="G131" s="306">
        <f t="shared" ca="1" si="40"/>
        <v>25.667455975051286</v>
      </c>
      <c r="H131" s="307">
        <f t="shared" ca="1" si="41"/>
        <v>141.62311230108904</v>
      </c>
      <c r="I131" s="304">
        <f t="shared" ca="1" si="42"/>
        <v>143.93027559925699</v>
      </c>
      <c r="J131" s="306">
        <f t="shared" ca="1" si="43"/>
        <v>142.55795652977568</v>
      </c>
      <c r="K131" s="307">
        <f t="shared" ca="1" si="44"/>
        <v>1111.8666720477192</v>
      </c>
      <c r="L131" s="304">
        <f t="shared" ca="1" si="29"/>
        <v>1120.9684506623796</v>
      </c>
      <c r="M131" s="306">
        <f t="shared" ca="1" si="45"/>
        <v>1.3915047303578993</v>
      </c>
      <c r="N131" s="304">
        <f t="shared" ca="1" si="46"/>
        <v>79.727348221997275</v>
      </c>
      <c r="P131" s="310">
        <f t="shared" ca="1" si="47"/>
        <v>13</v>
      </c>
      <c r="Q131" s="304">
        <f t="shared" ca="1" si="48"/>
        <v>0</v>
      </c>
      <c r="R131" s="306">
        <f t="shared" ca="1" si="49"/>
        <v>0</v>
      </c>
      <c r="S131" s="307">
        <f t="shared" ca="1" si="50"/>
        <v>4.0843000000000034</v>
      </c>
      <c r="T131" s="304">
        <f t="shared" ca="1" si="30"/>
        <v>40.066983000000036</v>
      </c>
      <c r="U131" s="311">
        <f t="shared" ca="1" si="31"/>
        <v>0</v>
      </c>
      <c r="V131" s="306">
        <f t="shared" ca="1" si="32"/>
        <v>1.0959695647081928</v>
      </c>
      <c r="W131" s="304">
        <f t="shared" ca="1" si="33"/>
        <v>33.155907484747701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1111.8666720477192</v>
      </c>
      <c r="AG131" s="306">
        <f t="shared" ca="1" si="56"/>
        <v>-17.792092302063235</v>
      </c>
      <c r="AH131" s="304">
        <f t="shared" ca="1" si="57"/>
        <v>-8.1391315151900177</v>
      </c>
    </row>
    <row r="132" spans="1:34" x14ac:dyDescent="0.2">
      <c r="A132" s="347">
        <f t="shared" ca="1" si="35"/>
        <v>0.01</v>
      </c>
      <c r="B132" s="304">
        <f t="shared" ca="1" si="36"/>
        <v>7.8799999999999724</v>
      </c>
      <c r="D132" s="306">
        <f t="shared" ca="1" si="37"/>
        <v>-1.4476845967659639</v>
      </c>
      <c r="E132" s="307">
        <f t="shared" ca="1" si="38"/>
        <v>-17.797764678495103</v>
      </c>
      <c r="F132" s="304">
        <f t="shared" ca="1" si="39"/>
        <v>17.856545529379453</v>
      </c>
      <c r="G132" s="306">
        <f t="shared" ca="1" si="40"/>
        <v>25.652979129083626</v>
      </c>
      <c r="H132" s="307">
        <f t="shared" ca="1" si="41"/>
        <v>141.4451346543041</v>
      </c>
      <c r="I132" s="304">
        <f t="shared" ca="1" si="42"/>
        <v>143.75257025727024</v>
      </c>
      <c r="J132" s="306">
        <f t="shared" ca="1" si="43"/>
        <v>142.81455870529635</v>
      </c>
      <c r="K132" s="307">
        <f t="shared" ca="1" si="44"/>
        <v>1113.2820132824961</v>
      </c>
      <c r="L132" s="304">
        <f t="shared" ref="L132:L195" ca="1" si="58">SQRT(pos_x^2+pos_z^2)</f>
        <v>1122.4049355186016</v>
      </c>
      <c r="M132" s="306">
        <f t="shared" ca="1" si="45"/>
        <v>1.3913830321848024</v>
      </c>
      <c r="N132" s="304">
        <f t="shared" ca="1" si="46"/>
        <v>79.720375430304358</v>
      </c>
      <c r="P132" s="310">
        <f t="shared" ca="1" si="47"/>
        <v>13</v>
      </c>
      <c r="Q132" s="304">
        <f t="shared" ca="1" si="48"/>
        <v>0</v>
      </c>
      <c r="R132" s="306">
        <f t="shared" ca="1" si="49"/>
        <v>0</v>
      </c>
      <c r="S132" s="307">
        <f t="shared" ca="1" si="50"/>
        <v>4.0843000000000034</v>
      </c>
      <c r="T132" s="304">
        <f t="shared" ref="T132:T195" ca="1" si="59">m*g</f>
        <v>40.066983000000036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1.0958139771530451</v>
      </c>
      <c r="W132" s="304">
        <f t="shared" ref="W132:W195" ca="1" si="62">1/2*Rho*Sref*Cx*vit_xz^2</f>
        <v>33.069389993872541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1113.2820132824961</v>
      </c>
      <c r="AG132" s="306">
        <f t="shared" ca="1" si="56"/>
        <v>-17.77064065065489</v>
      </c>
      <c r="AH132" s="304">
        <f t="shared" ca="1" si="57"/>
        <v>-8.1178922911509126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7.8899999999999721</v>
      </c>
      <c r="D133" s="306">
        <f t="shared" ref="D133:D196" ca="1" si="66">IF(AND(L132&lt;L_rampe,Poussee&lt;Poids*SIN(M132)),0,(-W132+Poussee)/m*COS(M132)-U132/m*SIN(M132))</f>
        <v>-1.4448765373090067</v>
      </c>
      <c r="E133" s="307">
        <f t="shared" ref="E133:E196" ca="1" si="67">IF(AND(L132&lt;L_rampe,Poussee&lt;Poids*SIN(M132)),0,(-W132+Poussee)/m*SIN(M132)+U132/m*COS(M132)-Poids/m)</f>
        <v>-17.776745513265372</v>
      </c>
      <c r="F133" s="304">
        <f t="shared" ref="F133:F196" ca="1" si="68">SQRT(acc_x^2+acc_z^2)</f>
        <v>17.835367931485646</v>
      </c>
      <c r="G133" s="306">
        <f t="shared" ref="G133:G196" ca="1" si="69">G132+acc_x*pas</f>
        <v>25.638530363710537</v>
      </c>
      <c r="H133" s="307">
        <f t="shared" ref="H133:H196" ca="1" si="70">H132+acc_z*pas</f>
        <v>141.26736719917145</v>
      </c>
      <c r="I133" s="304">
        <f t="shared" ref="I133:I196" ca="1" si="71">SQRT(vit_x^2+vit_z^2)</f>
        <v>143.57507887720783</v>
      </c>
      <c r="J133" s="306">
        <f t="shared" ref="J133:J196" ca="1" si="72">J132+0.5*(vit_x+G132)*pas*(K132&gt;=0)</f>
        <v>143.07101625276033</v>
      </c>
      <c r="K133" s="307">
        <f t="shared" ref="K133:K196" ca="1" si="73">K132+0.5*(vit_z+H132)*pas</f>
        <v>1114.6955757917635</v>
      </c>
      <c r="L133" s="304">
        <f t="shared" ca="1" si="58"/>
        <v>1123.8396426453949</v>
      </c>
      <c r="M133" s="306">
        <f t="shared" ref="M133:M196" ca="1" si="74">IF(AND(L132&gt;L_rampe,G133&gt;0),ATAN2(G133,H133),$M$4)</f>
        <v>1.3912611017467049</v>
      </c>
      <c r="N133" s="304">
        <f t="shared" ref="N133:N196" ca="1" si="75">DEGREES(Beta)</f>
        <v>79.713389330807203</v>
      </c>
      <c r="P133" s="310">
        <f t="shared" ref="P133:P196" ca="1" si="76">MATCH(t-pas/2-T_ini,CdP_t)</f>
        <v>13</v>
      </c>
      <c r="Q133" s="304">
        <f t="shared" ref="Q133:Q196" ca="1" si="77">(INDEX(CdP,2,i_P+1)-INDEX(CdP,2,i_P+0))/(INDEX(CdP,1,i_P+1)-INDEX(CdP,1,i_P+0))*(t-pas/2-T_ini-INDEX(CdP,1,i_P+0))+INDEX(CdP,2,i_P+0)</f>
        <v>0</v>
      </c>
      <c r="R133" s="306">
        <f t="shared" ref="R133:R196" ca="1" si="78">Poussee/(g*ISP)</f>
        <v>0</v>
      </c>
      <c r="S133" s="307">
        <f t="shared" ref="S133:S196" ca="1" si="79">S132-Débit*pas</f>
        <v>4.0843000000000034</v>
      </c>
      <c r="T133" s="304">
        <f t="shared" ca="1" si="59"/>
        <v>40.066983000000036</v>
      </c>
      <c r="U133" s="311">
        <f t="shared" ca="1" si="60"/>
        <v>0</v>
      </c>
      <c r="V133" s="306">
        <f t="shared" ca="1" si="61"/>
        <v>1.0956586059511582</v>
      </c>
      <c r="W133" s="304">
        <f t="shared" ca="1" si="62"/>
        <v>32.983101609639739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1114.6955757917635</v>
      </c>
      <c r="AG133" s="306">
        <f t="shared" ref="AG133:AG196" ca="1" si="85">IF(AND(L132&lt;L_rampe,Poussee&lt;Poids*SIN(M132)),0,(-W132+Poussee)/m-Poids*SIN(M132)/m)</f>
        <v>-17.749244733005156</v>
      </c>
      <c r="AH133" s="304">
        <f t="shared" ref="AH133:AH196" ca="1" si="86">IF(AND(L132&lt;L_rampe,Poussee&lt;Poids*SIN(M132)), g*SIN(M132), (-W132+Poussee)/m)</f>
        <v>-8.0967093489392337</v>
      </c>
    </row>
    <row r="134" spans="1:34" x14ac:dyDescent="0.2">
      <c r="A134" s="347">
        <f t="shared" ca="1" si="64"/>
        <v>0.01</v>
      </c>
      <c r="B134" s="304">
        <f t="shared" ca="1" si="65"/>
        <v>7.8999999999999719</v>
      </c>
      <c r="D134" s="306">
        <f t="shared" ca="1" si="66"/>
        <v>-1.4420752457929655</v>
      </c>
      <c r="E134" s="307">
        <f t="shared" ca="1" si="67"/>
        <v>-17.75578200802876</v>
      </c>
      <c r="F134" s="304">
        <f t="shared" ca="1" si="68"/>
        <v>17.814246426137892</v>
      </c>
      <c r="G134" s="306">
        <f t="shared" ca="1" si="69"/>
        <v>25.624109611252607</v>
      </c>
      <c r="H134" s="307">
        <f t="shared" ca="1" si="70"/>
        <v>141.08980937909115</v>
      </c>
      <c r="I134" s="304">
        <f t="shared" ca="1" si="71"/>
        <v>143.39780090363229</v>
      </c>
      <c r="J134" s="306">
        <f t="shared" ca="1" si="72"/>
        <v>143.32732945263515</v>
      </c>
      <c r="K134" s="307">
        <f t="shared" ca="1" si="73"/>
        <v>1116.1073616746548</v>
      </c>
      <c r="L134" s="304">
        <f t="shared" ca="1" si="58"/>
        <v>1125.2725741580939</v>
      </c>
      <c r="M134" s="306">
        <f t="shared" ca="1" si="74"/>
        <v>1.3911389384959043</v>
      </c>
      <c r="N134" s="304">
        <f t="shared" ca="1" si="75"/>
        <v>79.706389892124719</v>
      </c>
      <c r="P134" s="310">
        <f t="shared" ca="1" si="76"/>
        <v>13</v>
      </c>
      <c r="Q134" s="304">
        <f t="shared" ca="1" si="77"/>
        <v>0</v>
      </c>
      <c r="R134" s="306">
        <f t="shared" ca="1" si="78"/>
        <v>0</v>
      </c>
      <c r="S134" s="307">
        <f t="shared" ca="1" si="79"/>
        <v>4.0843000000000034</v>
      </c>
      <c r="T134" s="304">
        <f t="shared" ca="1" si="59"/>
        <v>40.066983000000036</v>
      </c>
      <c r="U134" s="311">
        <f t="shared" ca="1" si="60"/>
        <v>0</v>
      </c>
      <c r="V134" s="306">
        <f t="shared" ca="1" si="61"/>
        <v>1.0955034507891401</v>
      </c>
      <c r="W134" s="304">
        <f t="shared" ca="1" si="62"/>
        <v>32.897041570107007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1116.1073616746548</v>
      </c>
      <c r="AG134" s="306">
        <f t="shared" ca="1" si="85"/>
        <v>-17.727904359986503</v>
      </c>
      <c r="AH134" s="304">
        <f t="shared" ca="1" si="86"/>
        <v>-8.0755825011971964</v>
      </c>
    </row>
    <row r="135" spans="1:34" x14ac:dyDescent="0.2">
      <c r="A135" s="347">
        <f t="shared" ca="1" si="64"/>
        <v>0.01</v>
      </c>
      <c r="B135" s="304">
        <f t="shared" ca="1" si="65"/>
        <v>7.9099999999999717</v>
      </c>
      <c r="D135" s="306">
        <f t="shared" ca="1" si="66"/>
        <v>-1.4392806989583349</v>
      </c>
      <c r="E135" s="307">
        <f t="shared" ca="1" si="67"/>
        <v>-17.734873977664424</v>
      </c>
      <c r="F135" s="304">
        <f t="shared" ca="1" si="68"/>
        <v>17.793180826767113</v>
      </c>
      <c r="G135" s="306">
        <f t="shared" ca="1" si="69"/>
        <v>25.609716804263023</v>
      </c>
      <c r="H135" s="307">
        <f t="shared" ca="1" si="70"/>
        <v>140.9124606393145</v>
      </c>
      <c r="I135" s="304">
        <f t="shared" ca="1" si="71"/>
        <v>143.22073578298958</v>
      </c>
      <c r="J135" s="306">
        <f t="shared" ca="1" si="72"/>
        <v>143.58349858471274</v>
      </c>
      <c r="K135" s="307">
        <f t="shared" ca="1" si="73"/>
        <v>1117.5173730247468</v>
      </c>
      <c r="L135" s="304">
        <f t="shared" ca="1" si="58"/>
        <v>1126.7037321665166</v>
      </c>
      <c r="M135" s="306">
        <f t="shared" ca="1" si="74"/>
        <v>1.391016541882873</v>
      </c>
      <c r="N135" s="304">
        <f t="shared" ca="1" si="75"/>
        <v>79.699377082771335</v>
      </c>
      <c r="P135" s="310">
        <f t="shared" ca="1" si="76"/>
        <v>13</v>
      </c>
      <c r="Q135" s="304">
        <f t="shared" ca="1" si="77"/>
        <v>0</v>
      </c>
      <c r="R135" s="306">
        <f t="shared" ca="1" si="78"/>
        <v>0</v>
      </c>
      <c r="S135" s="307">
        <f t="shared" ca="1" si="79"/>
        <v>4.0843000000000034</v>
      </c>
      <c r="T135" s="304">
        <f t="shared" ca="1" si="59"/>
        <v>40.066983000000036</v>
      </c>
      <c r="U135" s="311">
        <f t="shared" ca="1" si="60"/>
        <v>0</v>
      </c>
      <c r="V135" s="306">
        <f t="shared" ca="1" si="61"/>
        <v>1.0953485113544636</v>
      </c>
      <c r="W135" s="304">
        <f t="shared" ca="1" si="62"/>
        <v>32.811209116598349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1117.5173730247468</v>
      </c>
      <c r="AG135" s="306">
        <f t="shared" ca="1" si="85"/>
        <v>-17.706619343267981</v>
      </c>
      <c r="AH135" s="304">
        <f t="shared" ca="1" si="86"/>
        <v>-8.0545115613708536</v>
      </c>
    </row>
    <row r="136" spans="1:34" x14ac:dyDescent="0.2">
      <c r="A136" s="347">
        <f t="shared" ca="1" si="64"/>
        <v>0.01</v>
      </c>
      <c r="B136" s="304">
        <f t="shared" ca="1" si="65"/>
        <v>7.9199999999999715</v>
      </c>
      <c r="D136" s="306">
        <f t="shared" ca="1" si="66"/>
        <v>-1.4364928736445426</v>
      </c>
      <c r="E136" s="307">
        <f t="shared" ca="1" si="67"/>
        <v>-17.71402123784506</v>
      </c>
      <c r="F136" s="304">
        <f t="shared" ca="1" si="68"/>
        <v>17.772170947603936</v>
      </c>
      <c r="G136" s="306">
        <f t="shared" ca="1" si="69"/>
        <v>25.595351875526578</v>
      </c>
      <c r="H136" s="307">
        <f t="shared" ca="1" si="70"/>
        <v>140.73532042693606</v>
      </c>
      <c r="I136" s="304">
        <f t="shared" ca="1" si="71"/>
        <v>143.04388296360102</v>
      </c>
      <c r="J136" s="306">
        <f t="shared" ca="1" si="72"/>
        <v>143.8395239281117</v>
      </c>
      <c r="K136" s="307">
        <f t="shared" ca="1" si="73"/>
        <v>1118.925611930078</v>
      </c>
      <c r="L136" s="304">
        <f t="shared" ca="1" si="58"/>
        <v>1128.1331187749811</v>
      </c>
      <c r="M136" s="306">
        <f t="shared" ca="1" si="74"/>
        <v>1.3908939113562533</v>
      </c>
      <c r="N136" s="304">
        <f t="shared" ca="1" si="75"/>
        <v>79.692350871156563</v>
      </c>
      <c r="P136" s="310">
        <f t="shared" ca="1" si="76"/>
        <v>13</v>
      </c>
      <c r="Q136" s="304">
        <f t="shared" ca="1" si="77"/>
        <v>0</v>
      </c>
      <c r="R136" s="306">
        <f t="shared" ca="1" si="78"/>
        <v>0</v>
      </c>
      <c r="S136" s="307">
        <f t="shared" ca="1" si="79"/>
        <v>4.0843000000000034</v>
      </c>
      <c r="T136" s="304">
        <f t="shared" ca="1" si="59"/>
        <v>40.066983000000036</v>
      </c>
      <c r="U136" s="311">
        <f t="shared" ca="1" si="60"/>
        <v>0</v>
      </c>
      <c r="V136" s="306">
        <f t="shared" ca="1" si="61"/>
        <v>1.0951937873354651</v>
      </c>
      <c r="W136" s="304">
        <f t="shared" ca="1" si="62"/>
        <v>32.725603493687274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1118.925611930078</v>
      </c>
      <c r="AG136" s="306">
        <f t="shared" ca="1" si="85"/>
        <v>-17.685389495311043</v>
      </c>
      <c r="AH136" s="304">
        <f t="shared" ca="1" si="86"/>
        <v>-8.033496343705977</v>
      </c>
    </row>
    <row r="137" spans="1:34" x14ac:dyDescent="0.2">
      <c r="A137" s="347">
        <f t="shared" ca="1" si="64"/>
        <v>0.01</v>
      </c>
      <c r="B137" s="304">
        <f t="shared" ca="1" si="65"/>
        <v>7.9299999999999713</v>
      </c>
      <c r="D137" s="306">
        <f t="shared" ca="1" si="66"/>
        <v>-1.4337117467894245</v>
      </c>
      <c r="E137" s="307">
        <f t="shared" ca="1" si="67"/>
        <v>-17.693223605032806</v>
      </c>
      <c r="F137" s="304">
        <f t="shared" ca="1" si="68"/>
        <v>17.751216603674582</v>
      </c>
      <c r="G137" s="306">
        <f t="shared" ca="1" si="69"/>
        <v>25.581014758058686</v>
      </c>
      <c r="H137" s="307">
        <f t="shared" ca="1" si="70"/>
        <v>140.55838819088572</v>
      </c>
      <c r="I137" s="304">
        <f t="shared" ca="1" si="71"/>
        <v>142.8672418956555</v>
      </c>
      <c r="J137" s="306">
        <f t="shared" ca="1" si="72"/>
        <v>144.09540576127964</v>
      </c>
      <c r="K137" s="307">
        <f t="shared" ca="1" si="73"/>
        <v>1120.3320804731673</v>
      </c>
      <c r="L137" s="304">
        <f t="shared" ca="1" si="58"/>
        <v>1129.5607360823246</v>
      </c>
      <c r="M137" s="306">
        <f t="shared" ca="1" si="74"/>
        <v>1.3907710463628489</v>
      </c>
      <c r="N137" s="304">
        <f t="shared" ca="1" si="75"/>
        <v>79.685311225584584</v>
      </c>
      <c r="P137" s="310">
        <f t="shared" ca="1" si="76"/>
        <v>13</v>
      </c>
      <c r="Q137" s="304">
        <f t="shared" ca="1" si="77"/>
        <v>0</v>
      </c>
      <c r="R137" s="306">
        <f t="shared" ca="1" si="78"/>
        <v>0</v>
      </c>
      <c r="S137" s="307">
        <f t="shared" ca="1" si="79"/>
        <v>4.0843000000000034</v>
      </c>
      <c r="T137" s="304">
        <f t="shared" ca="1" si="59"/>
        <v>40.066983000000036</v>
      </c>
      <c r="U137" s="311">
        <f t="shared" ca="1" si="60"/>
        <v>0</v>
      </c>
      <c r="V137" s="306">
        <f t="shared" ca="1" si="61"/>
        <v>1.0950392784213379</v>
      </c>
      <c r="W137" s="304">
        <f t="shared" ca="1" si="62"/>
        <v>32.640223949180168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1120.3320804731673</v>
      </c>
      <c r="AG137" s="306">
        <f t="shared" ca="1" si="85"/>
        <v>-17.664214629365389</v>
      </c>
      <c r="AH137" s="304">
        <f t="shared" ca="1" si="86"/>
        <v>-8.0125366632439459</v>
      </c>
    </row>
    <row r="138" spans="1:34" x14ac:dyDescent="0.2">
      <c r="A138" s="347">
        <f t="shared" ca="1" si="64"/>
        <v>0.01</v>
      </c>
      <c r="B138" s="304">
        <f t="shared" ca="1" si="65"/>
        <v>7.9399999999999711</v>
      </c>
      <c r="D138" s="306">
        <f t="shared" ca="1" si="66"/>
        <v>-1.4309372954287269</v>
      </c>
      <c r="E138" s="307">
        <f t="shared" ca="1" si="67"/>
        <v>-17.672480896475225</v>
      </c>
      <c r="F138" s="304">
        <f t="shared" ca="1" si="68"/>
        <v>17.730317610796785</v>
      </c>
      <c r="G138" s="306">
        <f t="shared" ca="1" si="69"/>
        <v>25.566705385104399</v>
      </c>
      <c r="H138" s="307">
        <f t="shared" ca="1" si="70"/>
        <v>140.38166338192096</v>
      </c>
      <c r="I138" s="304">
        <f t="shared" ca="1" si="71"/>
        <v>142.69081203120155</v>
      </c>
      <c r="J138" s="306">
        <f t="shared" ca="1" si="72"/>
        <v>144.35114436199544</v>
      </c>
      <c r="K138" s="307">
        <f t="shared" ca="1" si="73"/>
        <v>1121.7367807310313</v>
      </c>
      <c r="L138" s="304">
        <f t="shared" ca="1" si="58"/>
        <v>1130.986586181921</v>
      </c>
      <c r="M138" s="306">
        <f t="shared" ca="1" si="74"/>
        <v>1.3906479463476176</v>
      </c>
      <c r="N138" s="304">
        <f t="shared" ca="1" si="75"/>
        <v>79.678258114253836</v>
      </c>
      <c r="P138" s="310">
        <f t="shared" ca="1" si="76"/>
        <v>13</v>
      </c>
      <c r="Q138" s="304">
        <f t="shared" ca="1" si="77"/>
        <v>0</v>
      </c>
      <c r="R138" s="306">
        <f t="shared" ca="1" si="78"/>
        <v>0</v>
      </c>
      <c r="S138" s="307">
        <f t="shared" ca="1" si="79"/>
        <v>4.0843000000000034</v>
      </c>
      <c r="T138" s="304">
        <f t="shared" ca="1" si="59"/>
        <v>40.066983000000036</v>
      </c>
      <c r="U138" s="311">
        <f t="shared" ca="1" si="60"/>
        <v>0</v>
      </c>
      <c r="V138" s="306">
        <f t="shared" ca="1" si="61"/>
        <v>1.0948849843021333</v>
      </c>
      <c r="W138" s="304">
        <f t="shared" ca="1" si="62"/>
        <v>32.555069734099753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1121.7367807310313</v>
      </c>
      <c r="AG138" s="306">
        <f t="shared" ca="1" si="85"/>
        <v>-17.643094559464902</v>
      </c>
      <c r="AH138" s="304">
        <f t="shared" ca="1" si="86"/>
        <v>-7.9916323358176777</v>
      </c>
    </row>
    <row r="139" spans="1:34" x14ac:dyDescent="0.2">
      <c r="A139" s="347">
        <f t="shared" ca="1" si="64"/>
        <v>0.01</v>
      </c>
      <c r="B139" s="304">
        <f t="shared" ca="1" si="65"/>
        <v>7.9499999999999709</v>
      </c>
      <c r="D139" s="306">
        <f t="shared" ca="1" si="66"/>
        <v>-1.4281694966956067</v>
      </c>
      <c r="E139" s="307">
        <f t="shared" ca="1" si="67"/>
        <v>-17.65179293020126</v>
      </c>
      <c r="F139" s="304">
        <f t="shared" ca="1" si="68"/>
        <v>17.70947378557576</v>
      </c>
      <c r="G139" s="306">
        <f t="shared" ca="1" si="69"/>
        <v>25.552423690137442</v>
      </c>
      <c r="H139" s="307">
        <f t="shared" ca="1" si="70"/>
        <v>140.20514545261895</v>
      </c>
      <c r="I139" s="304">
        <f t="shared" ca="1" si="71"/>
        <v>142.5145928241397</v>
      </c>
      <c r="J139" s="306">
        <f t="shared" ca="1" si="72"/>
        <v>144.60674000737166</v>
      </c>
      <c r="K139" s="307">
        <f t="shared" ca="1" si="73"/>
        <v>1123.1397147752041</v>
      </c>
      <c r="L139" s="304">
        <f t="shared" ca="1" si="58"/>
        <v>1132.4106711616976</v>
      </c>
      <c r="M139" s="306">
        <f t="shared" ca="1" si="74"/>
        <v>1.3905246107536644</v>
      </c>
      <c r="N139" s="304">
        <f t="shared" ca="1" si="75"/>
        <v>79.671191505256573</v>
      </c>
      <c r="P139" s="310">
        <f t="shared" ca="1" si="76"/>
        <v>13</v>
      </c>
      <c r="Q139" s="304">
        <f t="shared" ca="1" si="77"/>
        <v>0</v>
      </c>
      <c r="R139" s="306">
        <f t="shared" ca="1" si="78"/>
        <v>0</v>
      </c>
      <c r="S139" s="307">
        <f t="shared" ca="1" si="79"/>
        <v>4.0843000000000034</v>
      </c>
      <c r="T139" s="304">
        <f t="shared" ca="1" si="59"/>
        <v>40.066983000000036</v>
      </c>
      <c r="U139" s="311">
        <f t="shared" ca="1" si="60"/>
        <v>0</v>
      </c>
      <c r="V139" s="306">
        <f t="shared" ca="1" si="61"/>
        <v>1.0947309046687554</v>
      </c>
      <c r="W139" s="304">
        <f t="shared" ca="1" si="62"/>
        <v>32.470140102668651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1123.1397147752041</v>
      </c>
      <c r="AG139" s="306">
        <f t="shared" ca="1" si="85"/>
        <v>-17.622029100423511</v>
      </c>
      <c r="AH139" s="304">
        <f t="shared" ca="1" si="86"/>
        <v>-7.9707831780475784</v>
      </c>
    </row>
    <row r="140" spans="1:34" x14ac:dyDescent="0.2">
      <c r="A140" s="347">
        <f t="shared" ca="1" si="64"/>
        <v>0.01</v>
      </c>
      <c r="B140" s="304">
        <f t="shared" ca="1" si="65"/>
        <v>7.9599999999999707</v>
      </c>
      <c r="D140" s="306">
        <f t="shared" ca="1" si="66"/>
        <v>-1.4254083278201288</v>
      </c>
      <c r="E140" s="307">
        <f t="shared" ca="1" si="67"/>
        <v>-17.631159525017274</v>
      </c>
      <c r="F140" s="304">
        <f t="shared" ca="1" si="68"/>
        <v>17.688684945400162</v>
      </c>
      <c r="G140" s="306">
        <f t="shared" ca="1" si="69"/>
        <v>25.538169606859242</v>
      </c>
      <c r="H140" s="307">
        <f t="shared" ca="1" si="70"/>
        <v>140.02883385736877</v>
      </c>
      <c r="I140" s="304">
        <f t="shared" ca="1" si="71"/>
        <v>142.33858373021454</v>
      </c>
      <c r="J140" s="306">
        <f t="shared" ca="1" si="72"/>
        <v>144.86219297385665</v>
      </c>
      <c r="K140" s="307">
        <f t="shared" ca="1" si="73"/>
        <v>1124.5408846717539</v>
      </c>
      <c r="L140" s="304">
        <f t="shared" ca="1" si="58"/>
        <v>1133.8329931041546</v>
      </c>
      <c r="M140" s="306">
        <f t="shared" ca="1" si="74"/>
        <v>1.3904010390222339</v>
      </c>
      <c r="N140" s="304">
        <f t="shared" ca="1" si="75"/>
        <v>79.664111366578481</v>
      </c>
      <c r="P140" s="310">
        <f t="shared" ca="1" si="76"/>
        <v>13</v>
      </c>
      <c r="Q140" s="304">
        <f t="shared" ca="1" si="77"/>
        <v>0</v>
      </c>
      <c r="R140" s="306">
        <f t="shared" ca="1" si="78"/>
        <v>0</v>
      </c>
      <c r="S140" s="307">
        <f t="shared" ca="1" si="79"/>
        <v>4.0843000000000034</v>
      </c>
      <c r="T140" s="304">
        <f t="shared" ca="1" si="59"/>
        <v>40.066983000000036</v>
      </c>
      <c r="U140" s="311">
        <f t="shared" ca="1" si="60"/>
        <v>0</v>
      </c>
      <c r="V140" s="306">
        <f t="shared" ca="1" si="61"/>
        <v>1.0945770392129586</v>
      </c>
      <c r="W140" s="304">
        <f t="shared" ca="1" si="62"/>
        <v>32.385434312293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1124.5408846717539</v>
      </c>
      <c r="AG140" s="306">
        <f t="shared" ca="1" si="85"/>
        <v>-17.60101806783117</v>
      </c>
      <c r="AH140" s="304">
        <f t="shared" ca="1" si="86"/>
        <v>-7.9499890073375177</v>
      </c>
    </row>
    <row r="141" spans="1:34" x14ac:dyDescent="0.2">
      <c r="A141" s="347">
        <f t="shared" ca="1" si="64"/>
        <v>0.01</v>
      </c>
      <c r="B141" s="304">
        <f t="shared" ca="1" si="65"/>
        <v>7.9699999999999704</v>
      </c>
      <c r="D141" s="306">
        <f t="shared" ca="1" si="66"/>
        <v>-1.422653766128769</v>
      </c>
      <c r="E141" s="307">
        <f t="shared" ca="1" si="67"/>
        <v>-17.61058050050303</v>
      </c>
      <c r="F141" s="304">
        <f t="shared" ca="1" si="68"/>
        <v>17.667950908438076</v>
      </c>
      <c r="G141" s="306">
        <f t="shared" ca="1" si="69"/>
        <v>25.523943069197955</v>
      </c>
      <c r="H141" s="307">
        <f t="shared" ca="1" si="70"/>
        <v>139.85272805236374</v>
      </c>
      <c r="I141" s="304">
        <f t="shared" ca="1" si="71"/>
        <v>142.16278420700709</v>
      </c>
      <c r="J141" s="306">
        <f t="shared" ca="1" si="72"/>
        <v>145.11750353723693</v>
      </c>
      <c r="K141" s="307">
        <f t="shared" ca="1" si="73"/>
        <v>1125.9402924813025</v>
      </c>
      <c r="L141" s="304">
        <f t="shared" ca="1" si="58"/>
        <v>1135.2535540863817</v>
      </c>
      <c r="M141" s="306">
        <f t="shared" ca="1" si="74"/>
        <v>1.3902772305927025</v>
      </c>
      <c r="N141" s="304">
        <f t="shared" ca="1" si="75"/>
        <v>79.657017666098184</v>
      </c>
      <c r="P141" s="310">
        <f t="shared" ca="1" si="76"/>
        <v>13</v>
      </c>
      <c r="Q141" s="304">
        <f t="shared" ca="1" si="77"/>
        <v>0</v>
      </c>
      <c r="R141" s="306">
        <f t="shared" ca="1" si="78"/>
        <v>0</v>
      </c>
      <c r="S141" s="307">
        <f t="shared" ca="1" si="79"/>
        <v>4.0843000000000034</v>
      </c>
      <c r="T141" s="304">
        <f t="shared" ca="1" si="59"/>
        <v>40.066983000000036</v>
      </c>
      <c r="U141" s="311">
        <f t="shared" ca="1" si="60"/>
        <v>0</v>
      </c>
      <c r="V141" s="306">
        <f t="shared" ca="1" si="61"/>
        <v>1.0944233876273446</v>
      </c>
      <c r="W141" s="304">
        <f t="shared" ca="1" si="62"/>
        <v>32.300951623546254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1125.9402924813025</v>
      </c>
      <c r="AG141" s="306">
        <f t="shared" ca="1" si="85"/>
        <v>-17.580061278049776</v>
      </c>
      <c r="AH141" s="304">
        <f t="shared" ca="1" si="86"/>
        <v>-7.9292496418708156</v>
      </c>
    </row>
    <row r="142" spans="1:34" x14ac:dyDescent="0.2">
      <c r="A142" s="347">
        <f t="shared" ca="1" si="64"/>
        <v>0.01</v>
      </c>
      <c r="B142" s="304">
        <f t="shared" ca="1" si="65"/>
        <v>7.9799999999999702</v>
      </c>
      <c r="D142" s="306">
        <f t="shared" ca="1" si="66"/>
        <v>-1.4199057890439257</v>
      </c>
      <c r="E142" s="307">
        <f t="shared" ca="1" si="67"/>
        <v>-17.59005567700779</v>
      </c>
      <c r="F142" s="304">
        <f t="shared" ca="1" si="68"/>
        <v>17.64727149363307</v>
      </c>
      <c r="G142" s="306">
        <f t="shared" ca="1" si="69"/>
        <v>25.509744011307514</v>
      </c>
      <c r="H142" s="307">
        <f t="shared" ca="1" si="70"/>
        <v>139.67682749559367</v>
      </c>
      <c r="I142" s="304">
        <f t="shared" ca="1" si="71"/>
        <v>141.98719371392716</v>
      </c>
      <c r="J142" s="306">
        <f t="shared" ca="1" si="72"/>
        <v>145.37267197263947</v>
      </c>
      <c r="K142" s="307">
        <f t="shared" ca="1" si="73"/>
        <v>1127.3379402590424</v>
      </c>
      <c r="L142" s="304">
        <f t="shared" ca="1" si="58"/>
        <v>1136.6723561800757</v>
      </c>
      <c r="M142" s="306">
        <f t="shared" ca="1" si="74"/>
        <v>1.3901531849025708</v>
      </c>
      <c r="N142" s="304">
        <f t="shared" ca="1" si="75"/>
        <v>79.649910371586856</v>
      </c>
      <c r="P142" s="310">
        <f t="shared" ca="1" si="76"/>
        <v>13</v>
      </c>
      <c r="Q142" s="304">
        <f t="shared" ca="1" si="77"/>
        <v>0</v>
      </c>
      <c r="R142" s="306">
        <f t="shared" ca="1" si="78"/>
        <v>0</v>
      </c>
      <c r="S142" s="307">
        <f t="shared" ca="1" si="79"/>
        <v>4.0843000000000034</v>
      </c>
      <c r="T142" s="304">
        <f t="shared" ca="1" si="59"/>
        <v>40.066983000000036</v>
      </c>
      <c r="U142" s="311">
        <f t="shared" ca="1" si="60"/>
        <v>0</v>
      </c>
      <c r="V142" s="306">
        <f t="shared" ca="1" si="61"/>
        <v>1.0942699496053601</v>
      </c>
      <c r="W142" s="304">
        <f t="shared" ca="1" si="62"/>
        <v>32.216691300152995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1127.3379402590424</v>
      </c>
      <c r="AG142" s="306">
        <f t="shared" ca="1" si="85"/>
        <v>-17.559158548209204</v>
      </c>
      <c r="AH142" s="304">
        <f t="shared" ca="1" si="86"/>
        <v>-7.9085649006062795</v>
      </c>
    </row>
    <row r="143" spans="1:34" x14ac:dyDescent="0.2">
      <c r="A143" s="347">
        <f t="shared" ca="1" si="64"/>
        <v>0.01</v>
      </c>
      <c r="B143" s="304">
        <f t="shared" ca="1" si="65"/>
        <v>7.98999999999997</v>
      </c>
      <c r="D143" s="306">
        <f t="shared" ca="1" si="66"/>
        <v>-1.4171643740834299</v>
      </c>
      <c r="E143" s="307">
        <f t="shared" ca="1" si="67"/>
        <v>-17.569584875646367</v>
      </c>
      <c r="F143" s="304">
        <f t="shared" ca="1" si="68"/>
        <v>17.626646520700213</v>
      </c>
      <c r="G143" s="306">
        <f t="shared" ca="1" si="69"/>
        <v>25.49557236756668</v>
      </c>
      <c r="H143" s="307">
        <f t="shared" ca="1" si="70"/>
        <v>139.50113164683719</v>
      </c>
      <c r="I143" s="304">
        <f t="shared" ca="1" si="71"/>
        <v>141.81181171220553</v>
      </c>
      <c r="J143" s="306">
        <f t="shared" ca="1" si="72"/>
        <v>145.62769855453385</v>
      </c>
      <c r="K143" s="307">
        <f t="shared" ca="1" si="73"/>
        <v>1128.7338300547547</v>
      </c>
      <c r="L143" s="304">
        <f t="shared" ca="1" si="58"/>
        <v>1138.0894014515582</v>
      </c>
      <c r="M143" s="306">
        <f t="shared" ca="1" si="74"/>
        <v>1.3900289013874569</v>
      </c>
      <c r="N143" s="304">
        <f t="shared" ca="1" si="75"/>
        <v>79.642789450707781</v>
      </c>
      <c r="P143" s="310">
        <f t="shared" ca="1" si="76"/>
        <v>13</v>
      </c>
      <c r="Q143" s="304">
        <f t="shared" ca="1" si="77"/>
        <v>0</v>
      </c>
      <c r="R143" s="306">
        <f t="shared" ca="1" si="78"/>
        <v>0</v>
      </c>
      <c r="S143" s="307">
        <f t="shared" ca="1" si="79"/>
        <v>4.0843000000000034</v>
      </c>
      <c r="T143" s="304">
        <f t="shared" ca="1" si="59"/>
        <v>40.066983000000036</v>
      </c>
      <c r="U143" s="311">
        <f t="shared" ca="1" si="60"/>
        <v>0</v>
      </c>
      <c r="V143" s="306">
        <f t="shared" ca="1" si="61"/>
        <v>1.0941167248412924</v>
      </c>
      <c r="W143" s="304">
        <f t="shared" ca="1" si="62"/>
        <v>32.13265260897284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1128.7338300547547</v>
      </c>
      <c r="AG143" s="306">
        <f t="shared" ca="1" si="85"/>
        <v>-17.538309696203282</v>
      </c>
      <c r="AH143" s="304">
        <f t="shared" ca="1" si="86"/>
        <v>-7.8879346032742372</v>
      </c>
    </row>
    <row r="144" spans="1:34" x14ac:dyDescent="0.2">
      <c r="A144" s="347">
        <f t="shared" ca="1" si="64"/>
        <v>0.01</v>
      </c>
      <c r="B144" s="304">
        <f t="shared" ca="1" si="65"/>
        <v>7.9999999999999698</v>
      </c>
      <c r="D144" s="306">
        <f t="shared" ca="1" si="66"/>
        <v>-1.4144294988600494</v>
      </c>
      <c r="E144" s="307">
        <f t="shared" ca="1" si="67"/>
        <v>-17.549167918295204</v>
      </c>
      <c r="F144" s="304">
        <f t="shared" ca="1" si="68"/>
        <v>17.606075810122114</v>
      </c>
      <c r="G144" s="306">
        <f t="shared" ca="1" si="69"/>
        <v>25.48142807257808</v>
      </c>
      <c r="H144" s="307">
        <f t="shared" ca="1" si="70"/>
        <v>139.32563996765424</v>
      </c>
      <c r="I144" s="304">
        <f t="shared" ca="1" si="71"/>
        <v>141.63663766488662</v>
      </c>
      <c r="J144" s="306">
        <f t="shared" ca="1" si="72"/>
        <v>145.88258355673457</v>
      </c>
      <c r="K144" s="307">
        <f t="shared" ca="1" si="73"/>
        <v>1130.1279639128272</v>
      </c>
      <c r="L144" s="304">
        <f t="shared" ca="1" si="58"/>
        <v>1139.5046919617928</v>
      </c>
      <c r="M144" s="306">
        <f t="shared" ca="1" si="74"/>
        <v>1.3899043794810881</v>
      </c>
      <c r="N144" s="304">
        <f t="shared" ca="1" si="75"/>
        <v>79.63565487101593</v>
      </c>
      <c r="P144" s="310">
        <f t="shared" ca="1" si="76"/>
        <v>13</v>
      </c>
      <c r="Q144" s="304">
        <f t="shared" ca="1" si="77"/>
        <v>0</v>
      </c>
      <c r="R144" s="306">
        <f t="shared" ca="1" si="78"/>
        <v>0</v>
      </c>
      <c r="S144" s="307">
        <f t="shared" ca="1" si="79"/>
        <v>4.0843000000000034</v>
      </c>
      <c r="T144" s="304">
        <f t="shared" ca="1" si="59"/>
        <v>40.066983000000036</v>
      </c>
      <c r="U144" s="311">
        <f t="shared" ca="1" si="60"/>
        <v>0</v>
      </c>
      <c r="V144" s="306">
        <f t="shared" ca="1" si="61"/>
        <v>1.0939637130302688</v>
      </c>
      <c r="W144" s="304">
        <f t="shared" ca="1" si="62"/>
        <v>32.048834819984634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>
        <f t="shared" ca="1" si="83"/>
        <v>7.9999999999999698</v>
      </c>
      <c r="AD144" s="323">
        <f t="shared" ca="1" si="84"/>
        <v>145.88258355673457</v>
      </c>
      <c r="AE144" s="324">
        <f t="shared" ca="1" si="63"/>
        <v>1130.1279639128272</v>
      </c>
      <c r="AG144" s="306">
        <f t="shared" ca="1" si="85"/>
        <v>-17.517514540685809</v>
      </c>
      <c r="AH144" s="304">
        <f t="shared" ca="1" si="86"/>
        <v>-7.867358570372601</v>
      </c>
    </row>
    <row r="145" spans="1:34" x14ac:dyDescent="0.2">
      <c r="A145" s="347">
        <f t="shared" ca="1" si="64"/>
        <v>0.01</v>
      </c>
      <c r="B145" s="304">
        <f t="shared" ca="1" si="65"/>
        <v>8.0099999999999696</v>
      </c>
      <c r="D145" s="306">
        <f t="shared" ca="1" si="66"/>
        <v>-1.4117011410810181</v>
      </c>
      <c r="E145" s="307">
        <f t="shared" ca="1" si="67"/>
        <v>-17.528804627588556</v>
      </c>
      <c r="F145" s="304">
        <f t="shared" ca="1" si="68"/>
        <v>17.585559183145115</v>
      </c>
      <c r="G145" s="306">
        <f t="shared" ca="1" si="69"/>
        <v>25.467311061167269</v>
      </c>
      <c r="H145" s="307">
        <f t="shared" ca="1" si="70"/>
        <v>139.15035192137836</v>
      </c>
      <c r="I145" s="304">
        <f t="shared" ca="1" si="71"/>
        <v>141.46167103682077</v>
      </c>
      <c r="J145" s="306">
        <f t="shared" ca="1" si="72"/>
        <v>146.13732725240331</v>
      </c>
      <c r="K145" s="307">
        <f t="shared" ca="1" si="73"/>
        <v>1131.5203438722724</v>
      </c>
      <c r="L145" s="304">
        <f t="shared" ca="1" si="58"/>
        <v>1140.9182297664026</v>
      </c>
      <c r="M145" s="306">
        <f t="shared" ca="1" si="74"/>
        <v>1.3897796186152933</v>
      </c>
      <c r="N145" s="304">
        <f t="shared" ca="1" si="75"/>
        <v>79.62850659995749</v>
      </c>
      <c r="P145" s="310">
        <f t="shared" ca="1" si="76"/>
        <v>13</v>
      </c>
      <c r="Q145" s="304">
        <f t="shared" ca="1" si="77"/>
        <v>0</v>
      </c>
      <c r="R145" s="306">
        <f t="shared" ca="1" si="78"/>
        <v>0</v>
      </c>
      <c r="S145" s="307">
        <f t="shared" ca="1" si="79"/>
        <v>4.0843000000000034</v>
      </c>
      <c r="T145" s="304">
        <f t="shared" ca="1" si="59"/>
        <v>40.066983000000036</v>
      </c>
      <c r="U145" s="311">
        <f t="shared" ca="1" si="60"/>
        <v>0</v>
      </c>
      <c r="V145" s="306">
        <f t="shared" ca="1" si="61"/>
        <v>1.093810913868251</v>
      </c>
      <c r="W145" s="304">
        <f t="shared" ca="1" si="62"/>
        <v>31.965237206270398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1131.5203438722724</v>
      </c>
      <c r="AG145" s="306">
        <f t="shared" ca="1" si="85"/>
        <v>-17.49677290106667</v>
      </c>
      <c r="AH145" s="304">
        <f t="shared" ca="1" si="86"/>
        <v>-7.846836623162992</v>
      </c>
    </row>
    <row r="146" spans="1:34" x14ac:dyDescent="0.2">
      <c r="A146" s="347">
        <f t="shared" ca="1" si="64"/>
        <v>0.01</v>
      </c>
      <c r="B146" s="304">
        <f t="shared" ca="1" si="65"/>
        <v>8.0199999999999694</v>
      </c>
      <c r="D146" s="306">
        <f t="shared" ca="1" si="66"/>
        <v>-1.4089792785475455</v>
      </c>
      <c r="E146" s="307">
        <f t="shared" ca="1" si="67"/>
        <v>-17.508494826914578</v>
      </c>
      <c r="F146" s="304">
        <f t="shared" ca="1" si="68"/>
        <v>17.565096461775294</v>
      </c>
      <c r="G146" s="306">
        <f t="shared" ca="1" si="69"/>
        <v>25.453221268381792</v>
      </c>
      <c r="H146" s="307">
        <f t="shared" ca="1" si="70"/>
        <v>138.9752669731092</v>
      </c>
      <c r="I146" s="304">
        <f t="shared" ca="1" si="71"/>
        <v>141.28691129465665</v>
      </c>
      <c r="J146" s="306">
        <f t="shared" ca="1" si="72"/>
        <v>146.39192991405105</v>
      </c>
      <c r="K146" s="307">
        <f t="shared" ca="1" si="73"/>
        <v>1132.9109719667449</v>
      </c>
      <c r="L146" s="304">
        <f t="shared" ca="1" si="58"/>
        <v>1142.3300169156876</v>
      </c>
      <c r="M146" s="306">
        <f t="shared" ca="1" si="74"/>
        <v>1.3896546182199958</v>
      </c>
      <c r="N146" s="304">
        <f t="shared" ca="1" si="75"/>
        <v>79.621344604869478</v>
      </c>
      <c r="P146" s="310">
        <f t="shared" ca="1" si="76"/>
        <v>13</v>
      </c>
      <c r="Q146" s="304">
        <f t="shared" ca="1" si="77"/>
        <v>0</v>
      </c>
      <c r="R146" s="306">
        <f t="shared" ca="1" si="78"/>
        <v>0</v>
      </c>
      <c r="S146" s="307">
        <f t="shared" ca="1" si="79"/>
        <v>4.0843000000000034</v>
      </c>
      <c r="T146" s="304">
        <f t="shared" ca="1" si="59"/>
        <v>40.066983000000036</v>
      </c>
      <c r="U146" s="311">
        <f t="shared" ca="1" si="60"/>
        <v>0</v>
      </c>
      <c r="V146" s="306">
        <f t="shared" ca="1" si="61"/>
        <v>1.0936583270520344</v>
      </c>
      <c r="W146" s="304">
        <f t="shared" ca="1" si="62"/>
        <v>31.881859043999647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1132.9109719667449</v>
      </c>
      <c r="AG146" s="306">
        <f t="shared" ca="1" si="85"/>
        <v>-17.47608459750785</v>
      </c>
      <c r="AH146" s="304">
        <f t="shared" ca="1" si="86"/>
        <v>-7.8263685836668149</v>
      </c>
    </row>
    <row r="147" spans="1:34" x14ac:dyDescent="0.2">
      <c r="A147" s="347">
        <f t="shared" ca="1" si="64"/>
        <v>0.01</v>
      </c>
      <c r="B147" s="304">
        <f t="shared" ca="1" si="65"/>
        <v>8.0299999999999692</v>
      </c>
      <c r="D147" s="306">
        <f t="shared" ca="1" si="66"/>
        <v>-1.406263889154338</v>
      </c>
      <c r="E147" s="307">
        <f t="shared" ca="1" si="67"/>
        <v>-17.488238340411513</v>
      </c>
      <c r="F147" s="304">
        <f t="shared" ca="1" si="68"/>
        <v>17.544687468774665</v>
      </c>
      <c r="G147" s="306">
        <f t="shared" ca="1" si="69"/>
        <v>25.439158629490247</v>
      </c>
      <c r="H147" s="307">
        <f t="shared" ca="1" si="70"/>
        <v>138.80038458970509</v>
      </c>
      <c r="I147" s="304">
        <f t="shared" ca="1" si="71"/>
        <v>141.11235790683398</v>
      </c>
      <c r="J147" s="306">
        <f t="shared" ca="1" si="72"/>
        <v>146.64639181354042</v>
      </c>
      <c r="K147" s="307">
        <f t="shared" ca="1" si="73"/>
        <v>1134.2998502245589</v>
      </c>
      <c r="L147" s="304">
        <f t="shared" ca="1" si="58"/>
        <v>1143.7400554546418</v>
      </c>
      <c r="M147" s="306">
        <f t="shared" ca="1" si="74"/>
        <v>1.3895293777232052</v>
      </c>
      <c r="N147" s="304">
        <f t="shared" ca="1" si="75"/>
        <v>79.614168852979248</v>
      </c>
      <c r="P147" s="310">
        <f t="shared" ca="1" si="76"/>
        <v>13</v>
      </c>
      <c r="Q147" s="304">
        <f t="shared" ca="1" si="77"/>
        <v>0</v>
      </c>
      <c r="R147" s="306">
        <f t="shared" ca="1" si="78"/>
        <v>0</v>
      </c>
      <c r="S147" s="307">
        <f t="shared" ca="1" si="79"/>
        <v>4.0843000000000034</v>
      </c>
      <c r="T147" s="304">
        <f t="shared" ca="1" si="59"/>
        <v>40.066983000000036</v>
      </c>
      <c r="U147" s="311">
        <f t="shared" ca="1" si="60"/>
        <v>0</v>
      </c>
      <c r="V147" s="306">
        <f t="shared" ca="1" si="61"/>
        <v>1.0935059522792454</v>
      </c>
      <c r="W147" s="304">
        <f t="shared" ca="1" si="62"/>
        <v>31.798699612413799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1134.2998502245589</v>
      </c>
      <c r="AG147" s="306">
        <f t="shared" ca="1" si="85"/>
        <v>-17.455449450919559</v>
      </c>
      <c r="AH147" s="304">
        <f t="shared" ca="1" si="86"/>
        <v>-7.8059542746614161</v>
      </c>
    </row>
    <row r="148" spans="1:34" x14ac:dyDescent="0.2">
      <c r="A148" s="347">
        <f t="shared" ca="1" si="64"/>
        <v>0.01</v>
      </c>
      <c r="B148" s="304">
        <f t="shared" ca="1" si="65"/>
        <v>8.0399999999999689</v>
      </c>
      <c r="D148" s="306">
        <f t="shared" ca="1" si="66"/>
        <v>-1.4035549508891316</v>
      </c>
      <c r="E148" s="307">
        <f t="shared" ca="1" si="67"/>
        <v>-17.468034992963904</v>
      </c>
      <c r="F148" s="304">
        <f t="shared" ca="1" si="68"/>
        <v>17.524332027657341</v>
      </c>
      <c r="G148" s="306">
        <f t="shared" ca="1" si="69"/>
        <v>25.425123079981358</v>
      </c>
      <c r="H148" s="307">
        <f t="shared" ca="1" si="70"/>
        <v>138.62570423977544</v>
      </c>
      <c r="I148" s="304">
        <f t="shared" ca="1" si="71"/>
        <v>140.93801034357585</v>
      </c>
      <c r="J148" s="306">
        <f t="shared" ca="1" si="72"/>
        <v>146.90071322208777</v>
      </c>
      <c r="K148" s="307">
        <f t="shared" ca="1" si="73"/>
        <v>1135.6869806687064</v>
      </c>
      <c r="L148" s="304">
        <f t="shared" ca="1" si="58"/>
        <v>1145.1483474229708</v>
      </c>
      <c r="M148" s="306">
        <f t="shared" ca="1" si="74"/>
        <v>1.3894038965510096</v>
      </c>
      <c r="N148" s="304">
        <f t="shared" ca="1" si="75"/>
        <v>79.606979311404089</v>
      </c>
      <c r="P148" s="310">
        <f t="shared" ca="1" si="76"/>
        <v>13</v>
      </c>
      <c r="Q148" s="304">
        <f t="shared" ca="1" si="77"/>
        <v>0</v>
      </c>
      <c r="R148" s="306">
        <f t="shared" ca="1" si="78"/>
        <v>0</v>
      </c>
      <c r="S148" s="307">
        <f t="shared" ca="1" si="79"/>
        <v>4.0843000000000034</v>
      </c>
      <c r="T148" s="304">
        <f t="shared" ca="1" si="59"/>
        <v>40.066983000000036</v>
      </c>
      <c r="U148" s="311">
        <f t="shared" ca="1" si="60"/>
        <v>0</v>
      </c>
      <c r="V148" s="306">
        <f t="shared" ca="1" si="61"/>
        <v>1.0933537892483352</v>
      </c>
      <c r="W148" s="304">
        <f t="shared" ca="1" si="62"/>
        <v>31.715758193810366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1135.6869806687064</v>
      </c>
      <c r="AG148" s="306">
        <f t="shared" ca="1" si="85"/>
        <v>-17.434867282956386</v>
      </c>
      <c r="AH148" s="304">
        <f t="shared" ca="1" si="86"/>
        <v>-7.785593519676266</v>
      </c>
    </row>
    <row r="149" spans="1:34" x14ac:dyDescent="0.2">
      <c r="A149" s="347">
        <f t="shared" ca="1" si="64"/>
        <v>0.01</v>
      </c>
      <c r="B149" s="304">
        <f t="shared" ca="1" si="65"/>
        <v>8.0499999999999687</v>
      </c>
      <c r="D149" s="306">
        <f t="shared" ca="1" si="66"/>
        <v>-1.400852441832209</v>
      </c>
      <c r="E149" s="307">
        <f t="shared" ca="1" si="67"/>
        <v>-17.447884610198763</v>
      </c>
      <c r="F149" s="304">
        <f t="shared" ca="1" si="68"/>
        <v>17.504029962685681</v>
      </c>
      <c r="G149" s="306">
        <f t="shared" ca="1" si="69"/>
        <v>25.411114555563035</v>
      </c>
      <c r="H149" s="307">
        <f t="shared" ca="1" si="70"/>
        <v>138.45122539367347</v>
      </c>
      <c r="I149" s="304">
        <f t="shared" ca="1" si="71"/>
        <v>140.76386807688158</v>
      </c>
      <c r="J149" s="306">
        <f t="shared" ca="1" si="72"/>
        <v>147.15489441026548</v>
      </c>
      <c r="K149" s="307">
        <f t="shared" ca="1" si="73"/>
        <v>1137.0723653168736</v>
      </c>
      <c r="L149" s="304">
        <f t="shared" ca="1" si="58"/>
        <v>1146.5548948551072</v>
      </c>
      <c r="M149" s="306">
        <f t="shared" ca="1" si="74"/>
        <v>1.3892781741275684</v>
      </c>
      <c r="N149" s="304">
        <f t="shared" ca="1" si="75"/>
        <v>79.599775947150746</v>
      </c>
      <c r="P149" s="310">
        <f t="shared" ca="1" si="76"/>
        <v>13</v>
      </c>
      <c r="Q149" s="304">
        <f t="shared" ca="1" si="77"/>
        <v>0</v>
      </c>
      <c r="R149" s="306">
        <f t="shared" ca="1" si="78"/>
        <v>0</v>
      </c>
      <c r="S149" s="307">
        <f t="shared" ca="1" si="79"/>
        <v>4.0843000000000034</v>
      </c>
      <c r="T149" s="304">
        <f t="shared" ca="1" si="59"/>
        <v>40.066983000000036</v>
      </c>
      <c r="U149" s="311">
        <f t="shared" ca="1" si="60"/>
        <v>0</v>
      </c>
      <c r="V149" s="306">
        <f t="shared" ca="1" si="61"/>
        <v>1.0932018376585815</v>
      </c>
      <c r="W149" s="304">
        <f t="shared" ca="1" si="62"/>
        <v>31.633034073527725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1137.0723653168736</v>
      </c>
      <c r="AG149" s="306">
        <f t="shared" ca="1" si="85"/>
        <v>-17.414337916013384</v>
      </c>
      <c r="AH149" s="304">
        <f t="shared" ca="1" si="86"/>
        <v>-7.7652861429890896</v>
      </c>
    </row>
    <row r="150" spans="1:34" x14ac:dyDescent="0.2">
      <c r="A150" s="347">
        <f t="shared" ca="1" si="64"/>
        <v>0.01</v>
      </c>
      <c r="B150" s="304">
        <f t="shared" ca="1" si="65"/>
        <v>8.0599999999999685</v>
      </c>
      <c r="D150" s="306">
        <f t="shared" ca="1" si="66"/>
        <v>-1.3981563401559389</v>
      </c>
      <c r="E150" s="307">
        <f t="shared" ca="1" si="67"/>
        <v>-17.427787018481858</v>
      </c>
      <c r="F150" s="304">
        <f t="shared" ca="1" si="68"/>
        <v>17.483781098866544</v>
      </c>
      <c r="G150" s="306">
        <f t="shared" ca="1" si="69"/>
        <v>25.397132992161477</v>
      </c>
      <c r="H150" s="307">
        <f t="shared" ca="1" si="70"/>
        <v>138.27694752348864</v>
      </c>
      <c r="I150" s="304">
        <f t="shared" ca="1" si="71"/>
        <v>140.58993058051905</v>
      </c>
      <c r="J150" s="306">
        <f t="shared" ca="1" si="72"/>
        <v>147.4089356480041</v>
      </c>
      <c r="K150" s="307">
        <f t="shared" ca="1" si="73"/>
        <v>1138.4560061814595</v>
      </c>
      <c r="L150" s="304">
        <f t="shared" ca="1" si="58"/>
        <v>1147.9596997802305</v>
      </c>
      <c r="M150" s="306">
        <f t="shared" ca="1" si="74"/>
        <v>1.3891522098751037</v>
      </c>
      <c r="N150" s="304">
        <f t="shared" ca="1" si="75"/>
        <v>79.592558727115005</v>
      </c>
      <c r="P150" s="310">
        <f t="shared" ca="1" si="76"/>
        <v>13</v>
      </c>
      <c r="Q150" s="304">
        <f t="shared" ca="1" si="77"/>
        <v>0</v>
      </c>
      <c r="R150" s="306">
        <f t="shared" ca="1" si="78"/>
        <v>0</v>
      </c>
      <c r="S150" s="307">
        <f t="shared" ca="1" si="79"/>
        <v>4.0843000000000034</v>
      </c>
      <c r="T150" s="304">
        <f t="shared" ca="1" si="59"/>
        <v>40.066983000000036</v>
      </c>
      <c r="U150" s="311">
        <f t="shared" ca="1" si="60"/>
        <v>0</v>
      </c>
      <c r="V150" s="306">
        <f t="shared" ca="1" si="61"/>
        <v>1.0930500972100834</v>
      </c>
      <c r="W150" s="304">
        <f t="shared" ca="1" si="62"/>
        <v>31.550526539929542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1138.4560061814595</v>
      </c>
      <c r="AG150" s="306">
        <f t="shared" ca="1" si="85"/>
        <v>-17.393861173222312</v>
      </c>
      <c r="AH150" s="304">
        <f t="shared" ca="1" si="86"/>
        <v>-7.7450319696221381</v>
      </c>
    </row>
    <row r="151" spans="1:34" x14ac:dyDescent="0.2">
      <c r="A151" s="347">
        <f t="shared" ca="1" si="64"/>
        <v>0.01</v>
      </c>
      <c r="B151" s="304">
        <f t="shared" ca="1" si="65"/>
        <v>8.0699999999999683</v>
      </c>
      <c r="D151" s="306">
        <f t="shared" ca="1" si="66"/>
        <v>-1.395466624124303</v>
      </c>
      <c r="E151" s="307">
        <f t="shared" ca="1" si="67"/>
        <v>-17.407742044913938</v>
      </c>
      <c r="F151" s="304">
        <f t="shared" ca="1" si="68"/>
        <v>17.463585261947483</v>
      </c>
      <c r="G151" s="306">
        <f t="shared" ca="1" si="69"/>
        <v>25.383178325920234</v>
      </c>
      <c r="H151" s="307">
        <f t="shared" ca="1" si="70"/>
        <v>138.10287010303949</v>
      </c>
      <c r="I151" s="304">
        <f t="shared" ca="1" si="71"/>
        <v>140.41619733001767</v>
      </c>
      <c r="J151" s="306">
        <f t="shared" ca="1" si="72"/>
        <v>147.66283720459452</v>
      </c>
      <c r="K151" s="307">
        <f t="shared" ca="1" si="73"/>
        <v>1139.8379052695923</v>
      </c>
      <c r="L151" s="304">
        <f t="shared" ca="1" si="58"/>
        <v>1149.3627642222812</v>
      </c>
      <c r="M151" s="306">
        <f t="shared" ca="1" si="74"/>
        <v>1.389026003213893</v>
      </c>
      <c r="N151" s="304">
        <f t="shared" ca="1" si="75"/>
        <v>79.585327618081195</v>
      </c>
      <c r="P151" s="310">
        <f t="shared" ca="1" si="76"/>
        <v>13</v>
      </c>
      <c r="Q151" s="304">
        <f t="shared" ca="1" si="77"/>
        <v>0</v>
      </c>
      <c r="R151" s="306">
        <f t="shared" ca="1" si="78"/>
        <v>0</v>
      </c>
      <c r="S151" s="307">
        <f t="shared" ca="1" si="79"/>
        <v>4.0843000000000034</v>
      </c>
      <c r="T151" s="304">
        <f t="shared" ca="1" si="59"/>
        <v>40.066983000000036</v>
      </c>
      <c r="U151" s="311">
        <f t="shared" ca="1" si="60"/>
        <v>0</v>
      </c>
      <c r="V151" s="306">
        <f t="shared" ca="1" si="61"/>
        <v>1.0928985676037573</v>
      </c>
      <c r="W151" s="304">
        <f t="shared" ca="1" si="62"/>
        <v>31.468234884389506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1139.8379052695923</v>
      </c>
      <c r="AG151" s="306">
        <f t="shared" ca="1" si="85"/>
        <v>-17.373436878447752</v>
      </c>
      <c r="AH151" s="304">
        <f t="shared" ca="1" si="86"/>
        <v>-7.7248308253383726</v>
      </c>
    </row>
    <row r="152" spans="1:34" x14ac:dyDescent="0.2">
      <c r="A152" s="347">
        <f t="shared" ca="1" si="64"/>
        <v>0.01</v>
      </c>
      <c r="B152" s="304">
        <f t="shared" ca="1" si="65"/>
        <v>8.0799999999999681</v>
      </c>
      <c r="D152" s="306">
        <f t="shared" ca="1" si="66"/>
        <v>-1.392783272092434</v>
      </c>
      <c r="E152" s="307">
        <f t="shared" ca="1" si="67"/>
        <v>-17.38774951732702</v>
      </c>
      <c r="F152" s="304">
        <f t="shared" ca="1" si="68"/>
        <v>17.443442278413009</v>
      </c>
      <c r="G152" s="306">
        <f t="shared" ca="1" si="69"/>
        <v>25.36925049319931</v>
      </c>
      <c r="H152" s="307">
        <f t="shared" ca="1" si="70"/>
        <v>137.92899260786623</v>
      </c>
      <c r="I152" s="304">
        <f t="shared" ca="1" si="71"/>
        <v>140.24266780266095</v>
      </c>
      <c r="J152" s="306">
        <f t="shared" ca="1" si="72"/>
        <v>147.91659934869011</v>
      </c>
      <c r="K152" s="307">
        <f t="shared" ca="1" si="73"/>
        <v>1141.2180645831468</v>
      </c>
      <c r="L152" s="304">
        <f t="shared" ca="1" si="58"/>
        <v>1150.7640901999785</v>
      </c>
      <c r="M152" s="306">
        <f t="shared" ca="1" si="74"/>
        <v>1.3888995535622617</v>
      </c>
      <c r="N152" s="304">
        <f t="shared" ca="1" si="75"/>
        <v>79.57808258672182</v>
      </c>
      <c r="P152" s="310">
        <f t="shared" ca="1" si="76"/>
        <v>13</v>
      </c>
      <c r="Q152" s="304">
        <f t="shared" ca="1" si="77"/>
        <v>0</v>
      </c>
      <c r="R152" s="306">
        <f t="shared" ca="1" si="78"/>
        <v>0</v>
      </c>
      <c r="S152" s="307">
        <f t="shared" ca="1" si="79"/>
        <v>4.0843000000000034</v>
      </c>
      <c r="T152" s="304">
        <f t="shared" ca="1" si="59"/>
        <v>40.066983000000036</v>
      </c>
      <c r="U152" s="311">
        <f t="shared" ca="1" si="60"/>
        <v>0</v>
      </c>
      <c r="V152" s="306">
        <f t="shared" ca="1" si="61"/>
        <v>1.0927472485413372</v>
      </c>
      <c r="W152" s="304">
        <f t="shared" ca="1" si="62"/>
        <v>31.386158401276212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1141.2180645831468</v>
      </c>
      <c r="AG152" s="306">
        <f t="shared" ca="1" si="85"/>
        <v>-17.353064856283382</v>
      </c>
      <c r="AH152" s="304">
        <f t="shared" ca="1" si="86"/>
        <v>-7.7046825366377298</v>
      </c>
    </row>
    <row r="153" spans="1:34" x14ac:dyDescent="0.2">
      <c r="A153" s="347">
        <f t="shared" ca="1" si="64"/>
        <v>0.01</v>
      </c>
      <c r="B153" s="304">
        <f t="shared" ca="1" si="65"/>
        <v>8.0899999999999679</v>
      </c>
      <c r="D153" s="306">
        <f t="shared" ca="1" si="66"/>
        <v>-1.3901062625061533</v>
      </c>
      <c r="E153" s="307">
        <f t="shared" ca="1" si="67"/>
        <v>-17.367809264280716</v>
      </c>
      <c r="F153" s="304">
        <f t="shared" ca="1" si="68"/>
        <v>17.423351975480891</v>
      </c>
      <c r="G153" s="306">
        <f t="shared" ca="1" si="69"/>
        <v>25.355349430574247</v>
      </c>
      <c r="H153" s="307">
        <f t="shared" ca="1" si="70"/>
        <v>137.75531451522343</v>
      </c>
      <c r="I153" s="304">
        <f t="shared" ca="1" si="71"/>
        <v>140.0693414774791</v>
      </c>
      <c r="J153" s="306">
        <f t="shared" ca="1" si="72"/>
        <v>148.17022234830898</v>
      </c>
      <c r="K153" s="307">
        <f t="shared" ca="1" si="73"/>
        <v>1142.5964861187622</v>
      </c>
      <c r="L153" s="304">
        <f t="shared" ca="1" si="58"/>
        <v>1152.1636797268391</v>
      </c>
      <c r="M153" s="306">
        <f t="shared" ca="1" si="74"/>
        <v>1.3887728603365739</v>
      </c>
      <c r="N153" s="304">
        <f t="shared" ca="1" si="75"/>
        <v>79.570823599597006</v>
      </c>
      <c r="P153" s="310">
        <f t="shared" ca="1" si="76"/>
        <v>13</v>
      </c>
      <c r="Q153" s="304">
        <f t="shared" ca="1" si="77"/>
        <v>0</v>
      </c>
      <c r="R153" s="306">
        <f t="shared" ca="1" si="78"/>
        <v>0</v>
      </c>
      <c r="S153" s="307">
        <f t="shared" ca="1" si="79"/>
        <v>4.0843000000000034</v>
      </c>
      <c r="T153" s="304">
        <f t="shared" ca="1" si="59"/>
        <v>40.066983000000036</v>
      </c>
      <c r="U153" s="311">
        <f t="shared" ca="1" si="60"/>
        <v>0</v>
      </c>
      <c r="V153" s="306">
        <f t="shared" ca="1" si="61"/>
        <v>1.0925961397253694</v>
      </c>
      <c r="W153" s="304">
        <f t="shared" ca="1" si="62"/>
        <v>31.304296387937857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1142.5964861187622</v>
      </c>
      <c r="AG153" s="306">
        <f t="shared" ca="1" si="85"/>
        <v>-17.332744932048193</v>
      </c>
      <c r="AH153" s="304">
        <f t="shared" ca="1" si="86"/>
        <v>-7.6845869307534187</v>
      </c>
    </row>
    <row r="154" spans="1:34" x14ac:dyDescent="0.2">
      <c r="A154" s="347">
        <f t="shared" ca="1" si="64"/>
        <v>0.01</v>
      </c>
      <c r="B154" s="304">
        <f t="shared" ca="1" si="65"/>
        <v>8.0999999999999677</v>
      </c>
      <c r="D154" s="306">
        <f t="shared" ca="1" si="66"/>
        <v>-1.3874355739015127</v>
      </c>
      <c r="E154" s="307">
        <f t="shared" ca="1" si="67"/>
        <v>-17.347921115058512</v>
      </c>
      <c r="F154" s="304">
        <f t="shared" ca="1" si="68"/>
        <v>17.403314181098391</v>
      </c>
      <c r="G154" s="306">
        <f t="shared" ca="1" si="69"/>
        <v>25.34147507483523</v>
      </c>
      <c r="H154" s="307">
        <f t="shared" ca="1" si="70"/>
        <v>137.58183530407285</v>
      </c>
      <c r="I154" s="304">
        <f t="shared" ca="1" si="71"/>
        <v>139.89621783524214</v>
      </c>
      <c r="J154" s="306">
        <f t="shared" ca="1" si="72"/>
        <v>148.42370647083604</v>
      </c>
      <c r="K154" s="307">
        <f t="shared" ca="1" si="73"/>
        <v>1143.9731718678586</v>
      </c>
      <c r="L154" s="304">
        <f t="shared" ca="1" si="58"/>
        <v>1153.5615348111908</v>
      </c>
      <c r="M154" s="306">
        <f t="shared" ca="1" si="74"/>
        <v>1.3886459229512258</v>
      </c>
      <c r="N154" s="304">
        <f t="shared" ca="1" si="75"/>
        <v>79.563550623154143</v>
      </c>
      <c r="P154" s="310">
        <f t="shared" ca="1" si="76"/>
        <v>13</v>
      </c>
      <c r="Q154" s="304">
        <f t="shared" ca="1" si="77"/>
        <v>0</v>
      </c>
      <c r="R154" s="306">
        <f t="shared" ca="1" si="78"/>
        <v>0</v>
      </c>
      <c r="S154" s="307">
        <f t="shared" ca="1" si="79"/>
        <v>4.0843000000000034</v>
      </c>
      <c r="T154" s="304">
        <f t="shared" ca="1" si="59"/>
        <v>40.066983000000036</v>
      </c>
      <c r="U154" s="311">
        <f t="shared" ca="1" si="60"/>
        <v>0</v>
      </c>
      <c r="V154" s="306">
        <f t="shared" ca="1" si="61"/>
        <v>1.0924452408592107</v>
      </c>
      <c r="W154" s="304">
        <f t="shared" ca="1" si="62"/>
        <v>31.222648144687373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1143.9731718678586</v>
      </c>
      <c r="AG154" s="306">
        <f t="shared" ca="1" si="85"/>
        <v>-17.312476931782719</v>
      </c>
      <c r="AH154" s="304">
        <f t="shared" ca="1" si="86"/>
        <v>-7.6645438356481721</v>
      </c>
    </row>
    <row r="155" spans="1:34" x14ac:dyDescent="0.2">
      <c r="A155" s="347">
        <f t="shared" ca="1" si="64"/>
        <v>0.01</v>
      </c>
      <c r="B155" s="304">
        <f t="shared" ca="1" si="65"/>
        <v>8.1099999999999675</v>
      </c>
      <c r="D155" s="306">
        <f t="shared" ca="1" si="66"/>
        <v>-1.3847711849043387</v>
      </c>
      <c r="E155" s="307">
        <f t="shared" ca="1" si="67"/>
        <v>-17.328084899664169</v>
      </c>
      <c r="F155" s="304">
        <f t="shared" ca="1" si="68"/>
        <v>17.383328723938657</v>
      </c>
      <c r="G155" s="306">
        <f t="shared" ca="1" si="69"/>
        <v>25.327627362986188</v>
      </c>
      <c r="H155" s="307">
        <f t="shared" ca="1" si="70"/>
        <v>137.4085544550762</v>
      </c>
      <c r="I155" s="304">
        <f t="shared" ca="1" si="71"/>
        <v>139.72329635845242</v>
      </c>
      <c r="J155" s="306">
        <f t="shared" ca="1" si="72"/>
        <v>148.67705198302514</v>
      </c>
      <c r="K155" s="307">
        <f t="shared" ca="1" si="73"/>
        <v>1145.3481238166544</v>
      </c>
      <c r="L155" s="304">
        <f t="shared" ca="1" si="58"/>
        <v>1154.9576574561916</v>
      </c>
      <c r="M155" s="306">
        <f t="shared" ca="1" si="74"/>
        <v>1.3885187408186368</v>
      </c>
      <c r="N155" s="304">
        <f t="shared" ca="1" si="75"/>
        <v>79.556263623727318</v>
      </c>
      <c r="P155" s="310">
        <f t="shared" ca="1" si="76"/>
        <v>13</v>
      </c>
      <c r="Q155" s="304">
        <f t="shared" ca="1" si="77"/>
        <v>0</v>
      </c>
      <c r="R155" s="306">
        <f t="shared" ca="1" si="78"/>
        <v>0</v>
      </c>
      <c r="S155" s="307">
        <f t="shared" ca="1" si="79"/>
        <v>4.0843000000000034</v>
      </c>
      <c r="T155" s="304">
        <f t="shared" ca="1" si="59"/>
        <v>40.066983000000036</v>
      </c>
      <c r="U155" s="311">
        <f t="shared" ca="1" si="60"/>
        <v>0</v>
      </c>
      <c r="V155" s="306">
        <f t="shared" ca="1" si="61"/>
        <v>1.0922945516470264</v>
      </c>
      <c r="W155" s="304">
        <f t="shared" ca="1" si="62"/>
        <v>31.141212974787379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1145.3481238166544</v>
      </c>
      <c r="AG155" s="306">
        <f t="shared" ca="1" si="85"/>
        <v>-17.29226068224537</v>
      </c>
      <c r="AH155" s="304">
        <f t="shared" ca="1" si="86"/>
        <v>-7.6445530800106134</v>
      </c>
    </row>
    <row r="156" spans="1:34" x14ac:dyDescent="0.2">
      <c r="A156" s="347">
        <f t="shared" ca="1" si="64"/>
        <v>0.01</v>
      </c>
      <c r="B156" s="304">
        <f t="shared" ca="1" si="65"/>
        <v>8.1199999999999672</v>
      </c>
      <c r="D156" s="306">
        <f t="shared" ca="1" si="66"/>
        <v>-1.3821130742297794</v>
      </c>
      <c r="E156" s="307">
        <f t="shared" ca="1" si="67"/>
        <v>-17.308300448818045</v>
      </c>
      <c r="F156" s="304">
        <f t="shared" ca="1" si="68"/>
        <v>17.363395433397002</v>
      </c>
      <c r="G156" s="306">
        <f t="shared" ca="1" si="69"/>
        <v>25.313806232243891</v>
      </c>
      <c r="H156" s="307">
        <f t="shared" ca="1" si="70"/>
        <v>137.23547145058802</v>
      </c>
      <c r="I156" s="304">
        <f t="shared" ca="1" si="71"/>
        <v>139.55057653133773</v>
      </c>
      <c r="J156" s="306">
        <f t="shared" ca="1" si="72"/>
        <v>148.93025915100128</v>
      </c>
      <c r="K156" s="307">
        <f t="shared" ca="1" si="73"/>
        <v>1146.7213439461827</v>
      </c>
      <c r="L156" s="304">
        <f t="shared" ca="1" si="58"/>
        <v>1156.3520496598446</v>
      </c>
      <c r="M156" s="306">
        <f t="shared" ca="1" si="74"/>
        <v>1.388391313349242</v>
      </c>
      <c r="N156" s="304">
        <f t="shared" ca="1" si="75"/>
        <v>79.548962567536961</v>
      </c>
      <c r="P156" s="310">
        <f t="shared" ca="1" si="76"/>
        <v>13</v>
      </c>
      <c r="Q156" s="304">
        <f t="shared" ca="1" si="77"/>
        <v>0</v>
      </c>
      <c r="R156" s="306">
        <f t="shared" ca="1" si="78"/>
        <v>0</v>
      </c>
      <c r="S156" s="307">
        <f t="shared" ca="1" si="79"/>
        <v>4.0843000000000034</v>
      </c>
      <c r="T156" s="304">
        <f t="shared" ca="1" si="59"/>
        <v>40.066983000000036</v>
      </c>
      <c r="U156" s="311">
        <f t="shared" ca="1" si="60"/>
        <v>0</v>
      </c>
      <c r="V156" s="306">
        <f t="shared" ca="1" si="61"/>
        <v>1.0921440717937854</v>
      </c>
      <c r="W156" s="304">
        <f t="shared" ca="1" si="62"/>
        <v>31.059990184435392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1146.7213439461827</v>
      </c>
      <c r="AG156" s="306">
        <f t="shared" ca="1" si="85"/>
        <v>-17.272096010908676</v>
      </c>
      <c r="AH156" s="304">
        <f t="shared" ca="1" si="86"/>
        <v>-7.6246144932515616</v>
      </c>
    </row>
    <row r="157" spans="1:34" x14ac:dyDescent="0.2">
      <c r="A157" s="347">
        <f t="shared" ca="1" si="64"/>
        <v>0.01</v>
      </c>
      <c r="B157" s="304">
        <f t="shared" ca="1" si="65"/>
        <v>8.129999999999967</v>
      </c>
      <c r="D157" s="306">
        <f t="shared" ca="1" si="66"/>
        <v>-1.3794612206818531</v>
      </c>
      <c r="E157" s="307">
        <f t="shared" ca="1" si="67"/>
        <v>-17.28856759395352</v>
      </c>
      <c r="F157" s="304">
        <f t="shared" ca="1" si="68"/>
        <v>17.343514139587306</v>
      </c>
      <c r="G157" s="306">
        <f t="shared" ca="1" si="69"/>
        <v>25.300011620037072</v>
      </c>
      <c r="H157" s="307">
        <f t="shared" ca="1" si="70"/>
        <v>137.06258577464848</v>
      </c>
      <c r="I157" s="304">
        <f t="shared" ca="1" si="71"/>
        <v>139.37805783984393</v>
      </c>
      <c r="J157" s="306">
        <f t="shared" ca="1" si="72"/>
        <v>149.18332824026268</v>
      </c>
      <c r="K157" s="307">
        <f t="shared" ca="1" si="73"/>
        <v>1148.0928342323089</v>
      </c>
      <c r="L157" s="304">
        <f t="shared" ca="1" si="58"/>
        <v>1157.7447134150161</v>
      </c>
      <c r="M157" s="306">
        <f t="shared" ca="1" si="74"/>
        <v>1.3882636399514838</v>
      </c>
      <c r="N157" s="304">
        <f t="shared" ca="1" si="75"/>
        <v>79.541647420689316</v>
      </c>
      <c r="P157" s="310">
        <f t="shared" ca="1" si="76"/>
        <v>13</v>
      </c>
      <c r="Q157" s="304">
        <f t="shared" ca="1" si="77"/>
        <v>0</v>
      </c>
      <c r="R157" s="306">
        <f t="shared" ca="1" si="78"/>
        <v>0</v>
      </c>
      <c r="S157" s="307">
        <f t="shared" ca="1" si="79"/>
        <v>4.0843000000000034</v>
      </c>
      <c r="T157" s="304">
        <f t="shared" ca="1" si="59"/>
        <v>40.066983000000036</v>
      </c>
      <c r="U157" s="311">
        <f t="shared" ca="1" si="60"/>
        <v>0</v>
      </c>
      <c r="V157" s="306">
        <f t="shared" ca="1" si="61"/>
        <v>1.0919938010052592</v>
      </c>
      <c r="W157" s="304">
        <f t="shared" ca="1" si="62"/>
        <v>30.978979082748964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1148.0928342323089</v>
      </c>
      <c r="AG157" s="306">
        <f t="shared" ca="1" si="85"/>
        <v>-17.251982745955672</v>
      </c>
      <c r="AH157" s="304">
        <f t="shared" ca="1" si="86"/>
        <v>-7.60472790550042</v>
      </c>
    </row>
    <row r="158" spans="1:34" x14ac:dyDescent="0.2">
      <c r="A158" s="347">
        <f t="shared" ca="1" si="64"/>
        <v>0.01</v>
      </c>
      <c r="B158" s="304">
        <f t="shared" ca="1" si="65"/>
        <v>8.1399999999999668</v>
      </c>
      <c r="D158" s="306">
        <f t="shared" ca="1" si="66"/>
        <v>-1.3768156031529994</v>
      </c>
      <c r="E158" s="307">
        <f t="shared" ca="1" si="67"/>
        <v>-17.268886167213381</v>
      </c>
      <c r="F158" s="304">
        <f t="shared" ca="1" si="68"/>
        <v>17.323684673338384</v>
      </c>
      <c r="G158" s="306">
        <f t="shared" ca="1" si="69"/>
        <v>25.28624346400554</v>
      </c>
      <c r="H158" s="307">
        <f t="shared" ca="1" si="70"/>
        <v>136.88989691297635</v>
      </c>
      <c r="I158" s="304">
        <f t="shared" ca="1" si="71"/>
        <v>139.20573977162815</v>
      </c>
      <c r="J158" s="306">
        <f t="shared" ca="1" si="72"/>
        <v>149.43625951568291</v>
      </c>
      <c r="K158" s="307">
        <f t="shared" ca="1" si="73"/>
        <v>1149.462596645747</v>
      </c>
      <c r="L158" s="304">
        <f t="shared" ca="1" si="58"/>
        <v>1159.1356507094508</v>
      </c>
      <c r="M158" s="306">
        <f t="shared" ca="1" si="74"/>
        <v>1.3881357200318043</v>
      </c>
      <c r="N158" s="304">
        <f t="shared" ca="1" si="75"/>
        <v>79.53431814917603</v>
      </c>
      <c r="P158" s="310">
        <f t="shared" ca="1" si="76"/>
        <v>13</v>
      </c>
      <c r="Q158" s="304">
        <f t="shared" ca="1" si="77"/>
        <v>0</v>
      </c>
      <c r="R158" s="306">
        <f t="shared" ca="1" si="78"/>
        <v>0</v>
      </c>
      <c r="S158" s="307">
        <f t="shared" ca="1" si="79"/>
        <v>4.0843000000000034</v>
      </c>
      <c r="T158" s="304">
        <f t="shared" ca="1" si="59"/>
        <v>40.066983000000036</v>
      </c>
      <c r="U158" s="311">
        <f t="shared" ca="1" si="60"/>
        <v>0</v>
      </c>
      <c r="V158" s="306">
        <f t="shared" ca="1" si="61"/>
        <v>1.0918437389880198</v>
      </c>
      <c r="W158" s="304">
        <f t="shared" ca="1" si="62"/>
        <v>30.898178981751112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1149.462596645747</v>
      </c>
      <c r="AG158" s="306">
        <f t="shared" ca="1" si="85"/>
        <v>-17.231920716276164</v>
      </c>
      <c r="AH158" s="304">
        <f t="shared" ca="1" si="86"/>
        <v>-7.584893147601532</v>
      </c>
    </row>
    <row r="159" spans="1:34" x14ac:dyDescent="0.2">
      <c r="A159" s="347">
        <f t="shared" ca="1" si="64"/>
        <v>0.01</v>
      </c>
      <c r="B159" s="304">
        <f t="shared" ca="1" si="65"/>
        <v>8.1499999999999666</v>
      </c>
      <c r="D159" s="306">
        <f t="shared" ca="1" si="66"/>
        <v>-1.3741762006236344</v>
      </c>
      <c r="E159" s="307">
        <f t="shared" ca="1" si="67"/>
        <v>-17.249256001446277</v>
      </c>
      <c r="F159" s="304">
        <f t="shared" ca="1" si="68"/>
        <v>17.303906866190388</v>
      </c>
      <c r="G159" s="306">
        <f t="shared" ca="1" si="69"/>
        <v>25.272501701999303</v>
      </c>
      <c r="H159" s="307">
        <f t="shared" ca="1" si="70"/>
        <v>136.71740435296189</v>
      </c>
      <c r="I159" s="304">
        <f t="shared" ca="1" si="71"/>
        <v>139.03362181605155</v>
      </c>
      <c r="J159" s="306">
        <f t="shared" ca="1" si="72"/>
        <v>149.68905324151294</v>
      </c>
      <c r="K159" s="307">
        <f t="shared" ca="1" si="73"/>
        <v>1150.8306331520766</v>
      </c>
      <c r="L159" s="304">
        <f t="shared" ca="1" si="58"/>
        <v>1160.5248635257885</v>
      </c>
      <c r="M159" s="306">
        <f t="shared" ca="1" si="74"/>
        <v>1.3880075529946359</v>
      </c>
      <c r="N159" s="304">
        <f t="shared" ca="1" si="75"/>
        <v>79.526974718873589</v>
      </c>
      <c r="P159" s="310">
        <f t="shared" ca="1" si="76"/>
        <v>13</v>
      </c>
      <c r="Q159" s="304">
        <f t="shared" ca="1" si="77"/>
        <v>0</v>
      </c>
      <c r="R159" s="306">
        <f t="shared" ca="1" si="78"/>
        <v>0</v>
      </c>
      <c r="S159" s="307">
        <f t="shared" ca="1" si="79"/>
        <v>4.0843000000000034</v>
      </c>
      <c r="T159" s="304">
        <f t="shared" ca="1" si="59"/>
        <v>40.066983000000036</v>
      </c>
      <c r="U159" s="311">
        <f t="shared" ca="1" si="60"/>
        <v>0</v>
      </c>
      <c r="V159" s="306">
        <f t="shared" ca="1" si="61"/>
        <v>1.0916938854494342</v>
      </c>
      <c r="W159" s="304">
        <f t="shared" ca="1" si="62"/>
        <v>30.817589196355634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1150.8306331520766</v>
      </c>
      <c r="AG159" s="306">
        <f t="shared" ca="1" si="85"/>
        <v>-17.211909751463168</v>
      </c>
      <c r="AH159" s="304">
        <f t="shared" ca="1" si="86"/>
        <v>-7.5651100511106151</v>
      </c>
    </row>
    <row r="160" spans="1:34" x14ac:dyDescent="0.2">
      <c r="A160" s="347">
        <f t="shared" ca="1" si="64"/>
        <v>0.01</v>
      </c>
      <c r="B160" s="304">
        <f t="shared" ca="1" si="65"/>
        <v>8.1599999999999664</v>
      </c>
      <c r="D160" s="306">
        <f t="shared" ca="1" si="66"/>
        <v>-1.3715429921617133</v>
      </c>
      <c r="E160" s="307">
        <f t="shared" ca="1" si="67"/>
        <v>-17.229676930203155</v>
      </c>
      <c r="F160" s="304">
        <f t="shared" ca="1" si="68"/>
        <v>17.284180550391238</v>
      </c>
      <c r="G160" s="306">
        <f t="shared" ca="1" si="69"/>
        <v>25.258786272077685</v>
      </c>
      <c r="H160" s="307">
        <f t="shared" ca="1" si="70"/>
        <v>136.54510758365987</v>
      </c>
      <c r="I160" s="304">
        <f t="shared" ca="1" si="71"/>
        <v>138.86170346417239</v>
      </c>
      <c r="J160" s="306">
        <f t="shared" ca="1" si="72"/>
        <v>149.94170968138332</v>
      </c>
      <c r="K160" s="307">
        <f t="shared" ca="1" si="73"/>
        <v>1152.1969457117598</v>
      </c>
      <c r="L160" s="304">
        <f t="shared" ca="1" si="58"/>
        <v>1161.9123538415813</v>
      </c>
      <c r="M160" s="306">
        <f t="shared" ca="1" si="74"/>
        <v>1.3878791382423947</v>
      </c>
      <c r="N160" s="304">
        <f t="shared" ca="1" si="75"/>
        <v>79.519617095542955</v>
      </c>
      <c r="P160" s="310">
        <f t="shared" ca="1" si="76"/>
        <v>13</v>
      </c>
      <c r="Q160" s="304">
        <f t="shared" ca="1" si="77"/>
        <v>0</v>
      </c>
      <c r="R160" s="306">
        <f t="shared" ca="1" si="78"/>
        <v>0</v>
      </c>
      <c r="S160" s="307">
        <f t="shared" ca="1" si="79"/>
        <v>4.0843000000000034</v>
      </c>
      <c r="T160" s="304">
        <f t="shared" ca="1" si="59"/>
        <v>40.066983000000036</v>
      </c>
      <c r="U160" s="311">
        <f t="shared" ca="1" si="60"/>
        <v>0</v>
      </c>
      <c r="V160" s="306">
        <f t="shared" ca="1" si="61"/>
        <v>1.0915442400976652</v>
      </c>
      <c r="W160" s="304">
        <f t="shared" ca="1" si="62"/>
        <v>30.737209044352639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1152.1969457117598</v>
      </c>
      <c r="AG160" s="306">
        <f t="shared" ca="1" si="85"/>
        <v>-17.191949681809259</v>
      </c>
      <c r="AH160" s="304">
        <f t="shared" ca="1" si="86"/>
        <v>-7.5453784482911654</v>
      </c>
    </row>
    <row r="161" spans="1:34" x14ac:dyDescent="0.2">
      <c r="A161" s="347">
        <f t="shared" ca="1" si="64"/>
        <v>0.01</v>
      </c>
      <c r="B161" s="304">
        <f t="shared" ca="1" si="65"/>
        <v>8.1699999999999662</v>
      </c>
      <c r="D161" s="306">
        <f t="shared" ca="1" si="66"/>
        <v>-1.3689159569222795</v>
      </c>
      <c r="E161" s="307">
        <f t="shared" ca="1" si="67"/>
        <v>-17.21014878773374</v>
      </c>
      <c r="F161" s="304">
        <f t="shared" ca="1" si="68"/>
        <v>17.264505558893067</v>
      </c>
      <c r="G161" s="306">
        <f t="shared" ca="1" si="69"/>
        <v>25.245097112508464</v>
      </c>
      <c r="H161" s="307">
        <f t="shared" ca="1" si="70"/>
        <v>136.37300609578253</v>
      </c>
      <c r="I161" s="304">
        <f t="shared" ca="1" si="71"/>
        <v>138.68998420873919</v>
      </c>
      <c r="J161" s="306">
        <f t="shared" ca="1" si="72"/>
        <v>150.19422909830624</v>
      </c>
      <c r="K161" s="307">
        <f t="shared" ca="1" si="73"/>
        <v>1153.561536280157</v>
      </c>
      <c r="L161" s="304">
        <f t="shared" ca="1" si="58"/>
        <v>1163.2981236293087</v>
      </c>
      <c r="M161" s="306">
        <f t="shared" ca="1" si="74"/>
        <v>1.3877504751754715</v>
      </c>
      <c r="N161" s="304">
        <f t="shared" ca="1" si="75"/>
        <v>79.512245244829032</v>
      </c>
      <c r="P161" s="310">
        <f t="shared" ca="1" si="76"/>
        <v>13</v>
      </c>
      <c r="Q161" s="304">
        <f t="shared" ca="1" si="77"/>
        <v>0</v>
      </c>
      <c r="R161" s="306">
        <f t="shared" ca="1" si="78"/>
        <v>0</v>
      </c>
      <c r="S161" s="307">
        <f t="shared" ca="1" si="79"/>
        <v>4.0843000000000034</v>
      </c>
      <c r="T161" s="304">
        <f t="shared" ca="1" si="59"/>
        <v>40.066983000000036</v>
      </c>
      <c r="U161" s="311">
        <f t="shared" ca="1" si="60"/>
        <v>0</v>
      </c>
      <c r="V161" s="306">
        <f t="shared" ca="1" si="61"/>
        <v>1.0913948026416656</v>
      </c>
      <c r="W161" s="304">
        <f t="shared" ca="1" si="62"/>
        <v>30.657037846394118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1153.561536280157</v>
      </c>
      <c r="AG161" s="306">
        <f t="shared" ca="1" si="85"/>
        <v>-17.17204033830297</v>
      </c>
      <c r="AH161" s="304">
        <f t="shared" ca="1" si="86"/>
        <v>-7.525698172110916</v>
      </c>
    </row>
    <row r="162" spans="1:34" x14ac:dyDescent="0.2">
      <c r="A162" s="347">
        <f t="shared" ca="1" si="64"/>
        <v>0.01</v>
      </c>
      <c r="B162" s="304">
        <f t="shared" ca="1" si="65"/>
        <v>8.179999999999966</v>
      </c>
      <c r="D162" s="306">
        <f t="shared" ca="1" si="66"/>
        <v>-1.3662950741470365</v>
      </c>
      <c r="E162" s="307">
        <f t="shared" ca="1" si="67"/>
        <v>-17.190671408983039</v>
      </c>
      <c r="F162" s="304">
        <f t="shared" ca="1" si="68"/>
        <v>17.244881725348694</v>
      </c>
      <c r="G162" s="306">
        <f t="shared" ca="1" si="69"/>
        <v>25.231434161766995</v>
      </c>
      <c r="H162" s="307">
        <f t="shared" ca="1" si="70"/>
        <v>136.2010993816927</v>
      </c>
      <c r="I162" s="304">
        <f t="shared" ca="1" si="71"/>
        <v>138.51846354418356</v>
      </c>
      <c r="J162" s="306">
        <f t="shared" ca="1" si="72"/>
        <v>150.4466117546776</v>
      </c>
      <c r="K162" s="307">
        <f t="shared" ca="1" si="73"/>
        <v>1154.9244068075445</v>
      </c>
      <c r="L162" s="304">
        <f t="shared" ca="1" si="58"/>
        <v>1164.6821748563946</v>
      </c>
      <c r="M162" s="306">
        <f t="shared" ca="1" si="74"/>
        <v>1.3876215631922229</v>
      </c>
      <c r="N162" s="304">
        <f t="shared" ca="1" si="75"/>
        <v>79.504859132260236</v>
      </c>
      <c r="P162" s="310">
        <f t="shared" ca="1" si="76"/>
        <v>13</v>
      </c>
      <c r="Q162" s="304">
        <f t="shared" ca="1" si="77"/>
        <v>0</v>
      </c>
      <c r="R162" s="306">
        <f t="shared" ca="1" si="78"/>
        <v>0</v>
      </c>
      <c r="S162" s="307">
        <f t="shared" ca="1" si="79"/>
        <v>4.0843000000000034</v>
      </c>
      <c r="T162" s="304">
        <f t="shared" ca="1" si="59"/>
        <v>40.066983000000036</v>
      </c>
      <c r="U162" s="311">
        <f t="shared" ca="1" si="60"/>
        <v>0</v>
      </c>
      <c r="V162" s="306">
        <f t="shared" ca="1" si="61"/>
        <v>1.0912455727911774</v>
      </c>
      <c r="W162" s="304">
        <f t="shared" ca="1" si="62"/>
        <v>30.577074925979581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1154.9244068075445</v>
      </c>
      <c r="AG162" s="306">
        <f t="shared" ca="1" si="85"/>
        <v>-17.152181552625244</v>
      </c>
      <c r="AH162" s="304">
        <f t="shared" ca="1" si="86"/>
        <v>-7.5060690562383012</v>
      </c>
    </row>
    <row r="163" spans="1:34" x14ac:dyDescent="0.2">
      <c r="A163" s="347">
        <f t="shared" ca="1" si="64"/>
        <v>0.01</v>
      </c>
      <c r="B163" s="304">
        <f t="shared" ca="1" si="65"/>
        <v>8.1899999999999658</v>
      </c>
      <c r="D163" s="306">
        <f t="shared" ca="1" si="66"/>
        <v>-1.3636803231639103</v>
      </c>
      <c r="E163" s="307">
        <f t="shared" ca="1" si="67"/>
        <v>-17.171244629587843</v>
      </c>
      <c r="F163" s="304">
        <f t="shared" ca="1" si="68"/>
        <v>17.225308884108109</v>
      </c>
      <c r="G163" s="306">
        <f t="shared" ca="1" si="69"/>
        <v>25.217797358535357</v>
      </c>
      <c r="H163" s="307">
        <f t="shared" ca="1" si="70"/>
        <v>136.02938693539681</v>
      </c>
      <c r="I163" s="304">
        <f t="shared" ca="1" si="71"/>
        <v>138.34714096661361</v>
      </c>
      <c r="J163" s="306">
        <f t="shared" ca="1" si="72"/>
        <v>150.69885791227912</v>
      </c>
      <c r="K163" s="307">
        <f t="shared" ca="1" si="73"/>
        <v>1156.28555923913</v>
      </c>
      <c r="L163" s="304">
        <f t="shared" ca="1" si="58"/>
        <v>1166.0645094852225</v>
      </c>
      <c r="M163" s="306">
        <f t="shared" ca="1" si="74"/>
        <v>1.3874924016889645</v>
      </c>
      <c r="N163" s="304">
        <f t="shared" ca="1" si="75"/>
        <v>79.497458723247959</v>
      </c>
      <c r="P163" s="310">
        <f t="shared" ca="1" si="76"/>
        <v>13</v>
      </c>
      <c r="Q163" s="304">
        <f t="shared" ca="1" si="77"/>
        <v>0</v>
      </c>
      <c r="R163" s="306">
        <f t="shared" ca="1" si="78"/>
        <v>0</v>
      </c>
      <c r="S163" s="307">
        <f t="shared" ca="1" si="79"/>
        <v>4.0843000000000034</v>
      </c>
      <c r="T163" s="304">
        <f t="shared" ca="1" si="59"/>
        <v>40.066983000000036</v>
      </c>
      <c r="U163" s="311">
        <f t="shared" ca="1" si="60"/>
        <v>0</v>
      </c>
      <c r="V163" s="306">
        <f t="shared" ca="1" si="61"/>
        <v>1.0910965502567289</v>
      </c>
      <c r="W163" s="304">
        <f t="shared" ca="1" si="62"/>
        <v>30.49731960944187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1156.28555923913</v>
      </c>
      <c r="AG163" s="306">
        <f t="shared" ca="1" si="85"/>
        <v>-17.13237315714586</v>
      </c>
      <c r="AH163" s="304">
        <f t="shared" ca="1" si="86"/>
        <v>-7.486490935038943</v>
      </c>
    </row>
    <row r="164" spans="1:34" x14ac:dyDescent="0.2">
      <c r="A164" s="347">
        <f t="shared" ca="1" si="64"/>
        <v>0.01</v>
      </c>
      <c r="B164" s="304">
        <f t="shared" ca="1" si="65"/>
        <v>8.1999999999999655</v>
      </c>
      <c r="D164" s="306">
        <f t="shared" ca="1" si="66"/>
        <v>-1.3610716833866137</v>
      </c>
      <c r="E164" s="307">
        <f t="shared" ca="1" si="67"/>
        <v>-17.151868285873277</v>
      </c>
      <c r="F164" s="304">
        <f t="shared" ca="1" si="68"/>
        <v>17.205786870214983</v>
      </c>
      <c r="G164" s="306">
        <f t="shared" ca="1" si="69"/>
        <v>25.20418664170149</v>
      </c>
      <c r="H164" s="307">
        <f t="shared" ca="1" si="70"/>
        <v>135.85786825253808</v>
      </c>
      <c r="I164" s="304">
        <f t="shared" ca="1" si="71"/>
        <v>138.17601597380681</v>
      </c>
      <c r="J164" s="306">
        <f t="shared" ca="1" si="72"/>
        <v>150.9509678322803</v>
      </c>
      <c r="K164" s="307">
        <f t="shared" ca="1" si="73"/>
        <v>1157.6449955150697</v>
      </c>
      <c r="L164" s="304">
        <f t="shared" ca="1" si="58"/>
        <v>1167.4451294731534</v>
      </c>
      <c r="M164" s="306">
        <f t="shared" ca="1" si="74"/>
        <v>1.3873629900599609</v>
      </c>
      <c r="N164" s="304">
        <f t="shared" ca="1" si="75"/>
        <v>79.490043983086139</v>
      </c>
      <c r="P164" s="310">
        <f t="shared" ca="1" si="76"/>
        <v>13</v>
      </c>
      <c r="Q164" s="304">
        <f t="shared" ca="1" si="77"/>
        <v>0</v>
      </c>
      <c r="R164" s="306">
        <f t="shared" ca="1" si="78"/>
        <v>0</v>
      </c>
      <c r="S164" s="307">
        <f t="shared" ca="1" si="79"/>
        <v>4.0843000000000034</v>
      </c>
      <c r="T164" s="304">
        <f t="shared" ca="1" si="59"/>
        <v>40.066983000000036</v>
      </c>
      <c r="U164" s="311">
        <f t="shared" ca="1" si="60"/>
        <v>0</v>
      </c>
      <c r="V164" s="306">
        <f t="shared" ca="1" si="61"/>
        <v>1.0909477347496312</v>
      </c>
      <c r="W164" s="304">
        <f t="shared" ca="1" si="62"/>
        <v>30.417771225932889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1157.6449955150697</v>
      </c>
      <c r="AG164" s="306">
        <f t="shared" ca="1" si="85"/>
        <v>-17.112614984919926</v>
      </c>
      <c r="AH164" s="304">
        <f t="shared" ca="1" si="86"/>
        <v>-7.4669636435721776</v>
      </c>
    </row>
    <row r="165" spans="1:34" x14ac:dyDescent="0.2">
      <c r="A165" s="347">
        <f t="shared" ca="1" si="64"/>
        <v>0.01</v>
      </c>
      <c r="B165" s="304">
        <f t="shared" ca="1" si="65"/>
        <v>8.2099999999999653</v>
      </c>
      <c r="D165" s="306">
        <f t="shared" ca="1" si="66"/>
        <v>-1.3584691343142234</v>
      </c>
      <c r="E165" s="307">
        <f t="shared" ca="1" si="67"/>
        <v>-17.132542214849348</v>
      </c>
      <c r="F165" s="304">
        <f t="shared" ca="1" si="68"/>
        <v>17.186315519403205</v>
      </c>
      <c r="G165" s="306">
        <f t="shared" ca="1" si="69"/>
        <v>25.190601950358349</v>
      </c>
      <c r="H165" s="307">
        <f t="shared" ca="1" si="70"/>
        <v>135.68654283038958</v>
      </c>
      <c r="I165" s="304">
        <f t="shared" ca="1" si="71"/>
        <v>138.00508806520338</v>
      </c>
      <c r="J165" s="306">
        <f t="shared" ca="1" si="72"/>
        <v>151.20294177524059</v>
      </c>
      <c r="K165" s="307">
        <f t="shared" ca="1" si="73"/>
        <v>1159.0027175704843</v>
      </c>
      <c r="L165" s="304">
        <f t="shared" ca="1" si="58"/>
        <v>1168.8240367725396</v>
      </c>
      <c r="M165" s="306">
        <f t="shared" ca="1" si="74"/>
        <v>1.3872333276974189</v>
      </c>
      <c r="N165" s="304">
        <f t="shared" ca="1" si="75"/>
        <v>79.482614876950791</v>
      </c>
      <c r="P165" s="310">
        <f t="shared" ca="1" si="76"/>
        <v>13</v>
      </c>
      <c r="Q165" s="304">
        <f t="shared" ca="1" si="77"/>
        <v>0</v>
      </c>
      <c r="R165" s="306">
        <f t="shared" ca="1" si="78"/>
        <v>0</v>
      </c>
      <c r="S165" s="307">
        <f t="shared" ca="1" si="79"/>
        <v>4.0843000000000034</v>
      </c>
      <c r="T165" s="304">
        <f t="shared" ca="1" si="59"/>
        <v>40.066983000000036</v>
      </c>
      <c r="U165" s="311">
        <f t="shared" ca="1" si="60"/>
        <v>0</v>
      </c>
      <c r="V165" s="306">
        <f t="shared" ca="1" si="61"/>
        <v>1.0907991259819767</v>
      </c>
      <c r="W165" s="304">
        <f t="shared" ca="1" si="62"/>
        <v>30.338429107409592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1159.0027175704843</v>
      </c>
      <c r="AG165" s="306">
        <f t="shared" ca="1" si="85"/>
        <v>-17.092906869684342</v>
      </c>
      <c r="AH165" s="304">
        <f t="shared" ca="1" si="86"/>
        <v>-7.4474870175875578</v>
      </c>
    </row>
    <row r="166" spans="1:34" x14ac:dyDescent="0.2">
      <c r="A166" s="347">
        <f t="shared" ca="1" si="64"/>
        <v>0.01</v>
      </c>
      <c r="B166" s="304">
        <f t="shared" ca="1" si="65"/>
        <v>8.2199999999999651</v>
      </c>
      <c r="D166" s="306">
        <f t="shared" ca="1" si="66"/>
        <v>-1.355872655530743</v>
      </c>
      <c r="E166" s="307">
        <f t="shared" ca="1" si="67"/>
        <v>-17.113266254207524</v>
      </c>
      <c r="F166" s="304">
        <f t="shared" ca="1" si="68"/>
        <v>17.166894668093413</v>
      </c>
      <c r="G166" s="306">
        <f t="shared" ca="1" si="69"/>
        <v>25.177043223803043</v>
      </c>
      <c r="H166" s="307">
        <f t="shared" ca="1" si="70"/>
        <v>135.51541016784751</v>
      </c>
      <c r="I166" s="304">
        <f t="shared" ca="1" si="71"/>
        <v>137.83435674189943</v>
      </c>
      <c r="J166" s="306">
        <f t="shared" ca="1" si="72"/>
        <v>151.4547800011114</v>
      </c>
      <c r="K166" s="307">
        <f t="shared" ca="1" si="73"/>
        <v>1160.3587273354754</v>
      </c>
      <c r="L166" s="304">
        <f t="shared" ca="1" si="58"/>
        <v>1170.2012333307416</v>
      </c>
      <c r="M166" s="306">
        <f t="shared" ca="1" si="74"/>
        <v>1.3871034139914773</v>
      </c>
      <c r="N166" s="304">
        <f t="shared" ca="1" si="75"/>
        <v>79.475171369899428</v>
      </c>
      <c r="P166" s="310">
        <f t="shared" ca="1" si="76"/>
        <v>13</v>
      </c>
      <c r="Q166" s="304">
        <f t="shared" ca="1" si="77"/>
        <v>0</v>
      </c>
      <c r="R166" s="306">
        <f t="shared" ca="1" si="78"/>
        <v>0</v>
      </c>
      <c r="S166" s="307">
        <f t="shared" ca="1" si="79"/>
        <v>4.0843000000000034</v>
      </c>
      <c r="T166" s="304">
        <f t="shared" ca="1" si="59"/>
        <v>40.066983000000036</v>
      </c>
      <c r="U166" s="311">
        <f t="shared" ca="1" si="60"/>
        <v>0</v>
      </c>
      <c r="V166" s="306">
        <f t="shared" ca="1" si="61"/>
        <v>1.0906507236666356</v>
      </c>
      <c r="W166" s="304">
        <f t="shared" ca="1" si="62"/>
        <v>30.259292588619974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1160.3587273354754</v>
      </c>
      <c r="AG166" s="306">
        <f t="shared" ca="1" si="85"/>
        <v>-17.073248645854321</v>
      </c>
      <c r="AH166" s="304">
        <f t="shared" ca="1" si="86"/>
        <v>-7.4280608935214278</v>
      </c>
    </row>
    <row r="167" spans="1:34" x14ac:dyDescent="0.2">
      <c r="A167" s="347">
        <f t="shared" ca="1" si="64"/>
        <v>0.01</v>
      </c>
      <c r="B167" s="304">
        <f t="shared" ca="1" si="65"/>
        <v>8.2299999999999649</v>
      </c>
      <c r="D167" s="306">
        <f t="shared" ca="1" si="66"/>
        <v>-1.353282226704692</v>
      </c>
      <c r="E167" s="307">
        <f t="shared" ca="1" si="67"/>
        <v>-17.094040242317334</v>
      </c>
      <c r="F167" s="304">
        <f t="shared" ca="1" si="68"/>
        <v>17.147524153389586</v>
      </c>
      <c r="G167" s="306">
        <f t="shared" ca="1" si="69"/>
        <v>25.163510401535998</v>
      </c>
      <c r="H167" s="307">
        <f t="shared" ca="1" si="70"/>
        <v>135.34446976542432</v>
      </c>
      <c r="I167" s="304">
        <f t="shared" ca="1" si="71"/>
        <v>137.66382150664012</v>
      </c>
      <c r="J167" s="306">
        <f t="shared" ca="1" si="72"/>
        <v>151.70648276923811</v>
      </c>
      <c r="K167" s="307">
        <f t="shared" ca="1" si="73"/>
        <v>1161.7130267351417</v>
      </c>
      <c r="L167" s="304">
        <f t="shared" ca="1" si="58"/>
        <v>1171.5767210901458</v>
      </c>
      <c r="M167" s="306">
        <f t="shared" ca="1" si="74"/>
        <v>1.3869732483302002</v>
      </c>
      <c r="N167" s="304">
        <f t="shared" ca="1" si="75"/>
        <v>79.467713426870731</v>
      </c>
      <c r="P167" s="310">
        <f t="shared" ca="1" si="76"/>
        <v>13</v>
      </c>
      <c r="Q167" s="304">
        <f t="shared" ca="1" si="77"/>
        <v>0</v>
      </c>
      <c r="R167" s="306">
        <f t="shared" ca="1" si="78"/>
        <v>0</v>
      </c>
      <c r="S167" s="307">
        <f t="shared" ca="1" si="79"/>
        <v>4.0843000000000034</v>
      </c>
      <c r="T167" s="304">
        <f t="shared" ca="1" si="59"/>
        <v>40.066983000000036</v>
      </c>
      <c r="U167" s="311">
        <f t="shared" ca="1" si="60"/>
        <v>0</v>
      </c>
      <c r="V167" s="306">
        <f t="shared" ca="1" si="61"/>
        <v>1.0905025275172531</v>
      </c>
      <c r="W167" s="304">
        <f t="shared" ca="1" si="62"/>
        <v>30.180361007089019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1161.7130267351417</v>
      </c>
      <c r="AG167" s="306">
        <f t="shared" ca="1" si="85"/>
        <v>-17.053640148519921</v>
      </c>
      <c r="AH167" s="304">
        <f t="shared" ca="1" si="86"/>
        <v>-7.4086851084934873</v>
      </c>
    </row>
    <row r="168" spans="1:34" x14ac:dyDescent="0.2">
      <c r="A168" s="347">
        <f t="shared" ca="1" si="64"/>
        <v>0.01</v>
      </c>
      <c r="B168" s="304">
        <f t="shared" ca="1" si="65"/>
        <v>8.2399999999999647</v>
      </c>
      <c r="D168" s="306">
        <f t="shared" ca="1" si="66"/>
        <v>-1.3506978275886636</v>
      </c>
      <c r="E168" s="307">
        <f t="shared" ca="1" si="67"/>
        <v>-17.074864018222964</v>
      </c>
      <c r="F168" s="304">
        <f t="shared" ca="1" si="68"/>
        <v>17.128203813075615</v>
      </c>
      <c r="G168" s="306">
        <f t="shared" ca="1" si="69"/>
        <v>25.15000342326011</v>
      </c>
      <c r="H168" s="307">
        <f t="shared" ca="1" si="70"/>
        <v>135.17372112524208</v>
      </c>
      <c r="I168" s="304">
        <f t="shared" ca="1" si="71"/>
        <v>137.49348186381314</v>
      </c>
      <c r="J168" s="306">
        <f t="shared" ca="1" si="72"/>
        <v>151.95805033836209</v>
      </c>
      <c r="K168" s="307">
        <f t="shared" ca="1" si="73"/>
        <v>1163.065617689595</v>
      </c>
      <c r="L168" s="304">
        <f t="shared" ca="1" si="58"/>
        <v>1172.9505019881765</v>
      </c>
      <c r="M168" s="306">
        <f t="shared" ca="1" si="74"/>
        <v>1.3868428300995672</v>
      </c>
      <c r="N168" s="304">
        <f t="shared" ca="1" si="75"/>
        <v>79.460241012683895</v>
      </c>
      <c r="P168" s="310">
        <f t="shared" ca="1" si="76"/>
        <v>13</v>
      </c>
      <c r="Q168" s="304">
        <f t="shared" ca="1" si="77"/>
        <v>0</v>
      </c>
      <c r="R168" s="306">
        <f t="shared" ca="1" si="78"/>
        <v>0</v>
      </c>
      <c r="S168" s="307">
        <f t="shared" ca="1" si="79"/>
        <v>4.0843000000000034</v>
      </c>
      <c r="T168" s="304">
        <f t="shared" ca="1" si="59"/>
        <v>40.066983000000036</v>
      </c>
      <c r="U168" s="311">
        <f t="shared" ca="1" si="60"/>
        <v>0</v>
      </c>
      <c r="V168" s="306">
        <f t="shared" ca="1" si="61"/>
        <v>1.0903545372482482</v>
      </c>
      <c r="W168" s="304">
        <f t="shared" ca="1" si="62"/>
        <v>30.101633703105097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1163.065617689595</v>
      </c>
      <c r="AG168" s="306">
        <f t="shared" ca="1" si="85"/>
        <v>-17.034081213442565</v>
      </c>
      <c r="AH168" s="304">
        <f t="shared" ca="1" si="86"/>
        <v>-7.389359500303355</v>
      </c>
    </row>
    <row r="169" spans="1:34" x14ac:dyDescent="0.2">
      <c r="A169" s="347">
        <f t="shared" ca="1" si="64"/>
        <v>0.01</v>
      </c>
      <c r="B169" s="304">
        <f t="shared" ca="1" si="65"/>
        <v>8.2499999999999645</v>
      </c>
      <c r="D169" s="306">
        <f t="shared" ca="1" si="66"/>
        <v>-1.3481194380189276</v>
      </c>
      <c r="E169" s="307">
        <f t="shared" ca="1" si="67"/>
        <v>-17.055737421639947</v>
      </c>
      <c r="F169" s="304">
        <f t="shared" ca="1" si="68"/>
        <v>17.108933485611946</v>
      </c>
      <c r="G169" s="306">
        <f t="shared" ca="1" si="69"/>
        <v>25.136522228879919</v>
      </c>
      <c r="H169" s="307">
        <f t="shared" ca="1" si="70"/>
        <v>135.00316375102568</v>
      </c>
      <c r="I169" s="304">
        <f t="shared" ca="1" si="71"/>
        <v>137.32333731944192</v>
      </c>
      <c r="J169" s="306">
        <f t="shared" ca="1" si="72"/>
        <v>152.20948296662277</v>
      </c>
      <c r="K169" s="307">
        <f t="shared" ca="1" si="73"/>
        <v>1164.4165021139763</v>
      </c>
      <c r="L169" s="304">
        <f t="shared" ca="1" si="58"/>
        <v>1174.3225779573152</v>
      </c>
      <c r="M169" s="306">
        <f t="shared" ca="1" si="74"/>
        <v>1.3867121586834656</v>
      </c>
      <c r="N169" s="304">
        <f t="shared" ca="1" si="75"/>
        <v>79.452754092038276</v>
      </c>
      <c r="P169" s="310">
        <f t="shared" ca="1" si="76"/>
        <v>13</v>
      </c>
      <c r="Q169" s="304">
        <f t="shared" ca="1" si="77"/>
        <v>0</v>
      </c>
      <c r="R169" s="306">
        <f t="shared" ca="1" si="78"/>
        <v>0</v>
      </c>
      <c r="S169" s="307">
        <f t="shared" ca="1" si="79"/>
        <v>4.0843000000000034</v>
      </c>
      <c r="T169" s="304">
        <f t="shared" ca="1" si="59"/>
        <v>40.066983000000036</v>
      </c>
      <c r="U169" s="311">
        <f t="shared" ca="1" si="60"/>
        <v>0</v>
      </c>
      <c r="V169" s="306">
        <f t="shared" ca="1" si="61"/>
        <v>1.0902067525748089</v>
      </c>
      <c r="W169" s="304">
        <f t="shared" ca="1" si="62"/>
        <v>30.023110019705975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1164.4165021139763</v>
      </c>
      <c r="AG169" s="306">
        <f t="shared" ca="1" si="85"/>
        <v>-17.014571677051674</v>
      </c>
      <c r="AH169" s="304">
        <f t="shared" ca="1" si="86"/>
        <v>-7.3700839074272393</v>
      </c>
    </row>
    <row r="170" spans="1:34" x14ac:dyDescent="0.2">
      <c r="A170" s="347">
        <f t="shared" ca="1" si="64"/>
        <v>0.01</v>
      </c>
      <c r="B170" s="304">
        <f t="shared" ca="1" si="65"/>
        <v>8.2599999999999643</v>
      </c>
      <c r="D170" s="306">
        <f t="shared" ca="1" si="66"/>
        <v>-1.3455470379149939</v>
      </c>
      <c r="E170" s="307">
        <f t="shared" ca="1" si="67"/>
        <v>-17.036660292951751</v>
      </c>
      <c r="F170" s="304">
        <f t="shared" ca="1" si="68"/>
        <v>17.089713010132169</v>
      </c>
      <c r="G170" s="306">
        <f t="shared" ca="1" si="69"/>
        <v>25.123066758500769</v>
      </c>
      <c r="H170" s="307">
        <f t="shared" ca="1" si="70"/>
        <v>134.83279714809618</v>
      </c>
      <c r="I170" s="304">
        <f t="shared" ca="1" si="71"/>
        <v>137.15338738117893</v>
      </c>
      <c r="J170" s="306">
        <f t="shared" ca="1" si="72"/>
        <v>152.46078091155968</v>
      </c>
      <c r="K170" s="307">
        <f t="shared" ca="1" si="73"/>
        <v>1165.765681918472</v>
      </c>
      <c r="L170" s="304">
        <f t="shared" ca="1" si="58"/>
        <v>1175.692950925114</v>
      </c>
      <c r="M170" s="306">
        <f t="shared" ca="1" si="74"/>
        <v>1.3865812334636809</v>
      </c>
      <c r="N170" s="304">
        <f t="shared" ca="1" si="75"/>
        <v>79.44525262951278</v>
      </c>
      <c r="P170" s="310">
        <f t="shared" ca="1" si="76"/>
        <v>13</v>
      </c>
      <c r="Q170" s="304">
        <f t="shared" ca="1" si="77"/>
        <v>0</v>
      </c>
      <c r="R170" s="306">
        <f t="shared" ca="1" si="78"/>
        <v>0</v>
      </c>
      <c r="S170" s="307">
        <f t="shared" ca="1" si="79"/>
        <v>4.0843000000000034</v>
      </c>
      <c r="T170" s="304">
        <f t="shared" ca="1" si="59"/>
        <v>40.066983000000036</v>
      </c>
      <c r="U170" s="311">
        <f t="shared" ca="1" si="60"/>
        <v>0</v>
      </c>
      <c r="V170" s="306">
        <f t="shared" ca="1" si="61"/>
        <v>1.090059173212893</v>
      </c>
      <c r="W170" s="304">
        <f t="shared" ca="1" si="62"/>
        <v>29.944789302665292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1165.765681918472</v>
      </c>
      <c r="AG170" s="306">
        <f t="shared" ca="1" si="85"/>
        <v>-16.995111376441177</v>
      </c>
      <c r="AH170" s="304">
        <f t="shared" ca="1" si="86"/>
        <v>-7.3508581690145069</v>
      </c>
    </row>
    <row r="171" spans="1:34" x14ac:dyDescent="0.2">
      <c r="A171" s="347">
        <f t="shared" ca="1" si="64"/>
        <v>0.01</v>
      </c>
      <c r="B171" s="304">
        <f t="shared" ca="1" si="65"/>
        <v>8.269999999999964</v>
      </c>
      <c r="D171" s="306">
        <f t="shared" ca="1" si="66"/>
        <v>-1.3429806072792143</v>
      </c>
      <c r="E171" s="307">
        <f t="shared" ca="1" si="67"/>
        <v>-17.017632473206515</v>
      </c>
      <c r="F171" s="304">
        <f t="shared" ca="1" si="68"/>
        <v>17.070542226439702</v>
      </c>
      <c r="G171" s="306">
        <f t="shared" ca="1" si="69"/>
        <v>25.109636952427977</v>
      </c>
      <c r="H171" s="307">
        <f t="shared" ca="1" si="70"/>
        <v>134.66262082336411</v>
      </c>
      <c r="I171" s="304">
        <f t="shared" ca="1" si="71"/>
        <v>136.98363155829924</v>
      </c>
      <c r="J171" s="306">
        <f t="shared" ca="1" si="72"/>
        <v>152.71194443011433</v>
      </c>
      <c r="K171" s="307">
        <f t="shared" ca="1" si="73"/>
        <v>1167.1131590083291</v>
      </c>
      <c r="L171" s="304">
        <f t="shared" ca="1" si="58"/>
        <v>1177.0616228142128</v>
      </c>
      <c r="M171" s="306">
        <f t="shared" ca="1" si="74"/>
        <v>1.3864500538198894</v>
      </c>
      <c r="N171" s="304">
        <f t="shared" ca="1" si="75"/>
        <v>79.437736589565503</v>
      </c>
      <c r="P171" s="310">
        <f t="shared" ca="1" si="76"/>
        <v>13</v>
      </c>
      <c r="Q171" s="304">
        <f t="shared" ca="1" si="77"/>
        <v>0</v>
      </c>
      <c r="R171" s="306">
        <f t="shared" ca="1" si="78"/>
        <v>0</v>
      </c>
      <c r="S171" s="307">
        <f t="shared" ca="1" si="79"/>
        <v>4.0843000000000034</v>
      </c>
      <c r="T171" s="304">
        <f t="shared" ca="1" si="59"/>
        <v>40.066983000000036</v>
      </c>
      <c r="U171" s="311">
        <f t="shared" ca="1" si="60"/>
        <v>0</v>
      </c>
      <c r="V171" s="306">
        <f t="shared" ca="1" si="61"/>
        <v>1.0899117988792211</v>
      </c>
      <c r="W171" s="304">
        <f t="shared" ca="1" si="62"/>
        <v>29.866670900478859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1167.1131590083291</v>
      </c>
      <c r="AG171" s="306">
        <f t="shared" ca="1" si="85"/>
        <v>-16.975700149366173</v>
      </c>
      <c r="AH171" s="304">
        <f t="shared" ca="1" si="86"/>
        <v>-7.3316821248843782</v>
      </c>
    </row>
    <row r="172" spans="1:34" x14ac:dyDescent="0.2">
      <c r="A172" s="347">
        <f t="shared" ca="1" si="64"/>
        <v>0.01</v>
      </c>
      <c r="B172" s="304">
        <f t="shared" ca="1" si="65"/>
        <v>8.2799999999999638</v>
      </c>
      <c r="D172" s="306">
        <f t="shared" ca="1" si="66"/>
        <v>-1.3404201261963529</v>
      </c>
      <c r="E172" s="307">
        <f t="shared" ca="1" si="67"/>
        <v>-16.998653804113705</v>
      </c>
      <c r="F172" s="304">
        <f t="shared" ca="1" si="68"/>
        <v>17.051420975004447</v>
      </c>
      <c r="G172" s="306">
        <f t="shared" ca="1" si="69"/>
        <v>25.096232751166013</v>
      </c>
      <c r="H172" s="307">
        <f t="shared" ca="1" si="70"/>
        <v>134.49263428532296</v>
      </c>
      <c r="I172" s="304">
        <f t="shared" ca="1" si="71"/>
        <v>136.8140693616937</v>
      </c>
      <c r="J172" s="306">
        <f t="shared" ca="1" si="72"/>
        <v>152.96297377863229</v>
      </c>
      <c r="K172" s="307">
        <f t="shared" ca="1" si="73"/>
        <v>1168.4589352838725</v>
      </c>
      <c r="L172" s="304">
        <f t="shared" ca="1" si="58"/>
        <v>1178.4285955423534</v>
      </c>
      <c r="M172" s="306">
        <f t="shared" ca="1" si="74"/>
        <v>1.3863186191296482</v>
      </c>
      <c r="N172" s="304">
        <f t="shared" ca="1" si="75"/>
        <v>79.430205936533071</v>
      </c>
      <c r="P172" s="310">
        <f t="shared" ca="1" si="76"/>
        <v>13</v>
      </c>
      <c r="Q172" s="304">
        <f t="shared" ca="1" si="77"/>
        <v>0</v>
      </c>
      <c r="R172" s="306">
        <f t="shared" ca="1" si="78"/>
        <v>0</v>
      </c>
      <c r="S172" s="307">
        <f t="shared" ca="1" si="79"/>
        <v>4.0843000000000034</v>
      </c>
      <c r="T172" s="304">
        <f t="shared" ca="1" si="59"/>
        <v>40.066983000000036</v>
      </c>
      <c r="U172" s="311">
        <f t="shared" ca="1" si="60"/>
        <v>0</v>
      </c>
      <c r="V172" s="306">
        <f t="shared" ca="1" si="61"/>
        <v>1.0897646292912773</v>
      </c>
      <c r="W172" s="304">
        <f t="shared" ca="1" si="62"/>
        <v>29.78875416435114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1168.4589352838725</v>
      </c>
      <c r="AG172" s="306">
        <f t="shared" ca="1" si="85"/>
        <v>-16.956337834239534</v>
      </c>
      <c r="AH172" s="304">
        <f t="shared" ca="1" si="86"/>
        <v>-7.3125556155225704</v>
      </c>
    </row>
    <row r="173" spans="1:34" x14ac:dyDescent="0.2">
      <c r="A173" s="347">
        <f t="shared" ca="1" si="64"/>
        <v>0.01</v>
      </c>
      <c r="B173" s="304">
        <f t="shared" ca="1" si="65"/>
        <v>8.2899999999999636</v>
      </c>
      <c r="D173" s="306">
        <f t="shared" ca="1" si="66"/>
        <v>-1.3378655748331894</v>
      </c>
      <c r="E173" s="307">
        <f t="shared" ca="1" si="67"/>
        <v>-16.979724128040832</v>
      </c>
      <c r="F173" s="304">
        <f t="shared" ca="1" si="68"/>
        <v>17.032349096959461</v>
      </c>
      <c r="G173" s="306">
        <f t="shared" ca="1" si="69"/>
        <v>25.08285409541768</v>
      </c>
      <c r="H173" s="307">
        <f t="shared" ca="1" si="70"/>
        <v>134.32283704404256</v>
      </c>
      <c r="I173" s="304">
        <f t="shared" ca="1" si="71"/>
        <v>136.64470030386258</v>
      </c>
      <c r="J173" s="306">
        <f t="shared" ca="1" si="72"/>
        <v>153.21386921286521</v>
      </c>
      <c r="K173" s="307">
        <f t="shared" ca="1" si="73"/>
        <v>1169.8030126405192</v>
      </c>
      <c r="L173" s="304">
        <f t="shared" ca="1" si="58"/>
        <v>1179.7938710223968</v>
      </c>
      <c r="M173" s="306">
        <f t="shared" ca="1" si="74"/>
        <v>1.3861869287683877</v>
      </c>
      <c r="N173" s="304">
        <f t="shared" ca="1" si="75"/>
        <v>79.42266063463029</v>
      </c>
      <c r="P173" s="310">
        <f t="shared" ca="1" si="76"/>
        <v>13</v>
      </c>
      <c r="Q173" s="304">
        <f t="shared" ca="1" si="77"/>
        <v>0</v>
      </c>
      <c r="R173" s="306">
        <f t="shared" ca="1" si="78"/>
        <v>0</v>
      </c>
      <c r="S173" s="307">
        <f t="shared" ca="1" si="79"/>
        <v>4.0843000000000034</v>
      </c>
      <c r="T173" s="304">
        <f t="shared" ca="1" si="59"/>
        <v>40.066983000000036</v>
      </c>
      <c r="U173" s="311">
        <f t="shared" ca="1" si="60"/>
        <v>0</v>
      </c>
      <c r="V173" s="306">
        <f t="shared" ca="1" si="61"/>
        <v>1.0896176641673061</v>
      </c>
      <c r="W173" s="304">
        <f t="shared" ca="1" si="62"/>
        <v>29.711038448181906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1169.8030126405192</v>
      </c>
      <c r="AG173" s="306">
        <f t="shared" ca="1" si="85"/>
        <v>-16.937024270128546</v>
      </c>
      <c r="AH173" s="304">
        <f t="shared" ca="1" si="86"/>
        <v>-7.293478482077985</v>
      </c>
    </row>
    <row r="174" spans="1:34" x14ac:dyDescent="0.2">
      <c r="A174" s="347">
        <f t="shared" ca="1" si="64"/>
        <v>0.01</v>
      </c>
      <c r="B174" s="304">
        <f t="shared" ca="1" si="65"/>
        <v>8.2999999999999634</v>
      </c>
      <c r="D174" s="306">
        <f t="shared" ca="1" si="66"/>
        <v>-1.3353169334381041</v>
      </c>
      <c r="E174" s="307">
        <f t="shared" ca="1" si="67"/>
        <v>-16.960843288010214</v>
      </c>
      <c r="F174" s="304">
        <f t="shared" ca="1" si="68"/>
        <v>17.013326434097703</v>
      </c>
      <c r="G174" s="306">
        <f t="shared" ca="1" si="69"/>
        <v>25.0695009260833</v>
      </c>
      <c r="H174" s="307">
        <f t="shared" ca="1" si="70"/>
        <v>134.15322861116246</v>
      </c>
      <c r="I174" s="304">
        <f t="shared" ca="1" si="71"/>
        <v>136.4755238989091</v>
      </c>
      <c r="J174" s="306">
        <f t="shared" ca="1" si="72"/>
        <v>153.4646309879727</v>
      </c>
      <c r="K174" s="307">
        <f t="shared" ca="1" si="73"/>
        <v>1171.1453929687952</v>
      </c>
      <c r="L174" s="304">
        <f t="shared" ca="1" si="58"/>
        <v>1181.1574511623369</v>
      </c>
      <c r="M174" s="306">
        <f t="shared" ca="1" si="74"/>
        <v>1.3860549821094019</v>
      </c>
      <c r="N174" s="304">
        <f t="shared" ca="1" si="75"/>
        <v>79.415100647949558</v>
      </c>
      <c r="P174" s="310">
        <f t="shared" ca="1" si="76"/>
        <v>13</v>
      </c>
      <c r="Q174" s="304">
        <f t="shared" ca="1" si="77"/>
        <v>0</v>
      </c>
      <c r="R174" s="306">
        <f t="shared" ca="1" si="78"/>
        <v>0</v>
      </c>
      <c r="S174" s="307">
        <f t="shared" ca="1" si="79"/>
        <v>4.0843000000000034</v>
      </c>
      <c r="T174" s="304">
        <f t="shared" ca="1" si="59"/>
        <v>40.066983000000036</v>
      </c>
      <c r="U174" s="311">
        <f t="shared" ca="1" si="60"/>
        <v>0</v>
      </c>
      <c r="V174" s="306">
        <f t="shared" ca="1" si="61"/>
        <v>1.089470903226309</v>
      </c>
      <c r="W174" s="304">
        <f t="shared" ca="1" si="62"/>
        <v>29.633523108552801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1171.1453929687952</v>
      </c>
      <c r="AG174" s="306">
        <f t="shared" ca="1" si="85"/>
        <v>-16.917759296751601</v>
      </c>
      <c r="AH174" s="304">
        <f t="shared" ca="1" si="86"/>
        <v>-7.2744505663594454</v>
      </c>
    </row>
    <row r="175" spans="1:34" x14ac:dyDescent="0.2">
      <c r="A175" s="347">
        <f t="shared" ca="1" si="64"/>
        <v>0.01</v>
      </c>
      <c r="B175" s="304">
        <f t="shared" ca="1" si="65"/>
        <v>8.3099999999999632</v>
      </c>
      <c r="D175" s="306">
        <f t="shared" ca="1" si="66"/>
        <v>-1.3327741823406767</v>
      </c>
      <c r="E175" s="307">
        <f t="shared" ca="1" si="67"/>
        <v>-16.942011127695707</v>
      </c>
      <c r="F175" s="304">
        <f t="shared" ca="1" si="68"/>
        <v>16.994352828868745</v>
      </c>
      <c r="G175" s="306">
        <f t="shared" ca="1" si="69"/>
        <v>25.056173184259894</v>
      </c>
      <c r="H175" s="307">
        <f t="shared" ca="1" si="70"/>
        <v>133.9838084998855</v>
      </c>
      <c r="I175" s="304">
        <f t="shared" ca="1" si="71"/>
        <v>136.30653966253274</v>
      </c>
      <c r="J175" s="306">
        <f t="shared" ca="1" si="72"/>
        <v>153.71525935852441</v>
      </c>
      <c r="K175" s="307">
        <f t="shared" ca="1" si="73"/>
        <v>1172.4860781543505</v>
      </c>
      <c r="L175" s="304">
        <f t="shared" ca="1" si="58"/>
        <v>1182.5193378653171</v>
      </c>
      <c r="M175" s="306">
        <f t="shared" ca="1" si="74"/>
        <v>1.3859227785238399</v>
      </c>
      <c r="N175" s="304">
        <f t="shared" ca="1" si="75"/>
        <v>79.40752594046036</v>
      </c>
      <c r="P175" s="310">
        <f t="shared" ca="1" si="76"/>
        <v>13</v>
      </c>
      <c r="Q175" s="304">
        <f t="shared" ca="1" si="77"/>
        <v>0</v>
      </c>
      <c r="R175" s="306">
        <f t="shared" ca="1" si="78"/>
        <v>0</v>
      </c>
      <c r="S175" s="307">
        <f t="shared" ca="1" si="79"/>
        <v>4.0843000000000034</v>
      </c>
      <c r="T175" s="304">
        <f t="shared" ca="1" si="59"/>
        <v>40.066983000000036</v>
      </c>
      <c r="U175" s="311">
        <f t="shared" ca="1" si="60"/>
        <v>0</v>
      </c>
      <c r="V175" s="306">
        <f t="shared" ca="1" si="61"/>
        <v>1.0893243461880426</v>
      </c>
      <c r="W175" s="304">
        <f t="shared" ca="1" si="62"/>
        <v>29.556207504714013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1172.4860781543505</v>
      </c>
      <c r="AG175" s="306">
        <f t="shared" ca="1" si="85"/>
        <v>-16.898542754474853</v>
      </c>
      <c r="AH175" s="304">
        <f t="shared" ca="1" si="86"/>
        <v>-7.2554717108324009</v>
      </c>
    </row>
    <row r="176" spans="1:34" x14ac:dyDescent="0.2">
      <c r="A176" s="347">
        <f t="shared" ca="1" si="64"/>
        <v>0.01</v>
      </c>
      <c r="B176" s="304">
        <f t="shared" ca="1" si="65"/>
        <v>8.319999999999963</v>
      </c>
      <c r="D176" s="306">
        <f t="shared" ca="1" si="66"/>
        <v>-1.3302373019512816</v>
      </c>
      <c r="E176" s="307">
        <f t="shared" ca="1" si="67"/>
        <v>-16.923227491419475</v>
      </c>
      <c r="F176" s="304">
        <f t="shared" ca="1" si="68"/>
        <v>16.975428124375494</v>
      </c>
      <c r="G176" s="306">
        <f t="shared" ca="1" si="69"/>
        <v>25.04287081124038</v>
      </c>
      <c r="H176" s="307">
        <f t="shared" ca="1" si="70"/>
        <v>133.81457622497129</v>
      </c>
      <c r="I176" s="304">
        <f t="shared" ca="1" si="71"/>
        <v>136.13774711202299</v>
      </c>
      <c r="J176" s="306">
        <f t="shared" ca="1" si="72"/>
        <v>153.9657545785019</v>
      </c>
      <c r="K176" s="307">
        <f t="shared" ca="1" si="73"/>
        <v>1173.8250700779747</v>
      </c>
      <c r="L176" s="304">
        <f t="shared" ca="1" si="58"/>
        <v>1183.8795330296448</v>
      </c>
      <c r="M176" s="306">
        <f t="shared" ca="1" si="74"/>
        <v>1.3857903173806971</v>
      </c>
      <c r="N176" s="304">
        <f t="shared" ca="1" si="75"/>
        <v>79.39993647600879</v>
      </c>
      <c r="P176" s="310">
        <f t="shared" ca="1" si="76"/>
        <v>13</v>
      </c>
      <c r="Q176" s="304">
        <f t="shared" ca="1" si="77"/>
        <v>0</v>
      </c>
      <c r="R176" s="306">
        <f t="shared" ca="1" si="78"/>
        <v>0</v>
      </c>
      <c r="S176" s="307">
        <f t="shared" ca="1" si="79"/>
        <v>4.0843000000000034</v>
      </c>
      <c r="T176" s="304">
        <f t="shared" ca="1" si="59"/>
        <v>40.066983000000036</v>
      </c>
      <c r="U176" s="311">
        <f t="shared" ca="1" si="60"/>
        <v>0</v>
      </c>
      <c r="V176" s="306">
        <f t="shared" ca="1" si="61"/>
        <v>1.0891779927730154</v>
      </c>
      <c r="W176" s="304">
        <f t="shared" ca="1" si="62"/>
        <v>29.479090998571152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1173.8250700779747</v>
      </c>
      <c r="AG176" s="306">
        <f t="shared" ca="1" si="85"/>
        <v>-16.879374484308929</v>
      </c>
      <c r="AH176" s="304">
        <f t="shared" ca="1" si="86"/>
        <v>-7.2365417586156724</v>
      </c>
    </row>
    <row r="177" spans="1:34" x14ac:dyDescent="0.2">
      <c r="A177" s="347">
        <f t="shared" ca="1" si="64"/>
        <v>0.01</v>
      </c>
      <c r="B177" s="304">
        <f t="shared" ca="1" si="65"/>
        <v>8.3299999999999628</v>
      </c>
      <c r="D177" s="306">
        <f t="shared" ca="1" si="66"/>
        <v>-1.3277062727606868</v>
      </c>
      <c r="E177" s="307">
        <f t="shared" ca="1" si="67"/>
        <v>-16.904492224148786</v>
      </c>
      <c r="F177" s="304">
        <f t="shared" ca="1" si="68"/>
        <v>16.956552164371001</v>
      </c>
      <c r="G177" s="306">
        <f t="shared" ca="1" si="69"/>
        <v>25.029593748512774</v>
      </c>
      <c r="H177" s="307">
        <f t="shared" ca="1" si="70"/>
        <v>133.64553130272981</v>
      </c>
      <c r="I177" s="304">
        <f t="shared" ca="1" si="71"/>
        <v>135.96914576625289</v>
      </c>
      <c r="J177" s="306">
        <f t="shared" ca="1" si="72"/>
        <v>154.21611690130067</v>
      </c>
      <c r="K177" s="307">
        <f t="shared" ca="1" si="73"/>
        <v>1175.1623706156133</v>
      </c>
      <c r="L177" s="304">
        <f t="shared" ca="1" si="58"/>
        <v>1185.2380385488073</v>
      </c>
      <c r="M177" s="306">
        <f t="shared" ca="1" si="74"/>
        <v>1.3856575980468062</v>
      </c>
      <c r="N177" s="304">
        <f t="shared" ca="1" si="75"/>
        <v>79.392332218317065</v>
      </c>
      <c r="P177" s="310">
        <f t="shared" ca="1" si="76"/>
        <v>13</v>
      </c>
      <c r="Q177" s="304">
        <f t="shared" ca="1" si="77"/>
        <v>0</v>
      </c>
      <c r="R177" s="306">
        <f t="shared" ca="1" si="78"/>
        <v>0</v>
      </c>
      <c r="S177" s="307">
        <f t="shared" ca="1" si="79"/>
        <v>4.0843000000000034</v>
      </c>
      <c r="T177" s="304">
        <f t="shared" ca="1" si="59"/>
        <v>40.066983000000036</v>
      </c>
      <c r="U177" s="311">
        <f t="shared" ca="1" si="60"/>
        <v>0</v>
      </c>
      <c r="V177" s="306">
        <f t="shared" ca="1" si="61"/>
        <v>1.0890318427024865</v>
      </c>
      <c r="W177" s="304">
        <f t="shared" ca="1" si="62"/>
        <v>29.402172954672093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1175.1623706156133</v>
      </c>
      <c r="AG177" s="306">
        <f t="shared" ca="1" si="85"/>
        <v>-16.860254327905658</v>
      </c>
      <c r="AH177" s="304">
        <f t="shared" ca="1" si="86"/>
        <v>-7.2176605534782281</v>
      </c>
    </row>
    <row r="178" spans="1:34" x14ac:dyDescent="0.2">
      <c r="A178" s="347">
        <f t="shared" ca="1" si="64"/>
        <v>0.01</v>
      </c>
      <c r="B178" s="304">
        <f t="shared" ca="1" si="65"/>
        <v>8.3399999999999626</v>
      </c>
      <c r="D178" s="306">
        <f t="shared" ca="1" si="66"/>
        <v>-1.3251810753396578</v>
      </c>
      <c r="E178" s="307">
        <f t="shared" ca="1" si="67"/>
        <v>-16.88580517149283</v>
      </c>
      <c r="F178" s="304">
        <f t="shared" ca="1" si="68"/>
        <v>16.937724793255214</v>
      </c>
      <c r="G178" s="306">
        <f t="shared" ca="1" si="69"/>
        <v>25.016341937759378</v>
      </c>
      <c r="H178" s="307">
        <f t="shared" ca="1" si="70"/>
        <v>133.47667325101489</v>
      </c>
      <c r="I178" s="304">
        <f t="shared" ca="1" si="71"/>
        <v>135.80073514567249</v>
      </c>
      <c r="J178" s="306">
        <f t="shared" ca="1" si="72"/>
        <v>154.46634657973203</v>
      </c>
      <c r="K178" s="307">
        <f t="shared" ca="1" si="73"/>
        <v>1176.497981638382</v>
      </c>
      <c r="L178" s="304">
        <f t="shared" ca="1" si="58"/>
        <v>1186.5948563114862</v>
      </c>
      <c r="M178" s="306">
        <f t="shared" ca="1" si="74"/>
        <v>1.3855246198868285</v>
      </c>
      <c r="N178" s="304">
        <f t="shared" ca="1" si="75"/>
        <v>79.384713130982917</v>
      </c>
      <c r="P178" s="310">
        <f t="shared" ca="1" si="76"/>
        <v>13</v>
      </c>
      <c r="Q178" s="304">
        <f t="shared" ca="1" si="77"/>
        <v>0</v>
      </c>
      <c r="R178" s="306">
        <f t="shared" ca="1" si="78"/>
        <v>0</v>
      </c>
      <c r="S178" s="307">
        <f t="shared" ca="1" si="79"/>
        <v>4.0843000000000034</v>
      </c>
      <c r="T178" s="304">
        <f t="shared" ca="1" si="59"/>
        <v>40.066983000000036</v>
      </c>
      <c r="U178" s="311">
        <f t="shared" ca="1" si="60"/>
        <v>0</v>
      </c>
      <c r="V178" s="306">
        <f t="shared" ca="1" si="61"/>
        <v>1.0888858956984622</v>
      </c>
      <c r="W178" s="304">
        <f t="shared" ca="1" si="62"/>
        <v>29.325452740193825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1176.497981638382</v>
      </c>
      <c r="AG178" s="306">
        <f t="shared" ca="1" si="85"/>
        <v>-16.841182127554799</v>
      </c>
      <c r="AH178" s="304">
        <f t="shared" ca="1" si="86"/>
        <v>-7.198827939835974</v>
      </c>
    </row>
    <row r="179" spans="1:34" x14ac:dyDescent="0.2">
      <c r="A179" s="347">
        <f t="shared" ca="1" si="64"/>
        <v>0.01</v>
      </c>
      <c r="B179" s="304">
        <f t="shared" ca="1" si="65"/>
        <v>8.3499999999999623</v>
      </c>
      <c r="D179" s="306">
        <f t="shared" ca="1" si="66"/>
        <v>-1.3226616903385546</v>
      </c>
      <c r="E179" s="307">
        <f t="shared" ca="1" si="67"/>
        <v>-16.867166179699524</v>
      </c>
      <c r="F179" s="304">
        <f t="shared" ca="1" si="68"/>
        <v>16.918945856071787</v>
      </c>
      <c r="G179" s="306">
        <f t="shared" ca="1" si="69"/>
        <v>25.003115320855994</v>
      </c>
      <c r="H179" s="307">
        <f t="shared" ca="1" si="70"/>
        <v>133.30800158921789</v>
      </c>
      <c r="I179" s="304">
        <f t="shared" ca="1" si="71"/>
        <v>135.63251477230281</v>
      </c>
      <c r="J179" s="306">
        <f t="shared" ca="1" si="72"/>
        <v>154.71644386602512</v>
      </c>
      <c r="K179" s="307">
        <f t="shared" ca="1" si="73"/>
        <v>1177.8319050125833</v>
      </c>
      <c r="L179" s="304">
        <f t="shared" ca="1" si="58"/>
        <v>1187.9499882015741</v>
      </c>
      <c r="M179" s="306">
        <f t="shared" ca="1" si="74"/>
        <v>1.3853913822632442</v>
      </c>
      <c r="N179" s="304">
        <f t="shared" ca="1" si="75"/>
        <v>79.377079177479189</v>
      </c>
      <c r="P179" s="310">
        <f t="shared" ca="1" si="76"/>
        <v>13</v>
      </c>
      <c r="Q179" s="304">
        <f t="shared" ca="1" si="77"/>
        <v>0</v>
      </c>
      <c r="R179" s="306">
        <f t="shared" ca="1" si="78"/>
        <v>0</v>
      </c>
      <c r="S179" s="307">
        <f t="shared" ca="1" si="79"/>
        <v>4.0843000000000034</v>
      </c>
      <c r="T179" s="304">
        <f t="shared" ca="1" si="59"/>
        <v>40.066983000000036</v>
      </c>
      <c r="U179" s="311">
        <f t="shared" ca="1" si="60"/>
        <v>0</v>
      </c>
      <c r="V179" s="306">
        <f t="shared" ca="1" si="61"/>
        <v>1.0887401514836932</v>
      </c>
      <c r="W179" s="304">
        <f t="shared" ca="1" si="62"/>
        <v>29.248929724929653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1177.8319050125833</v>
      </c>
      <c r="AG179" s="306">
        <f t="shared" ca="1" si="85"/>
        <v>-16.822157726180794</v>
      </c>
      <c r="AH179" s="304">
        <f t="shared" ca="1" si="86"/>
        <v>-7.1800437627485252</v>
      </c>
    </row>
    <row r="180" spans="1:34" x14ac:dyDescent="0.2">
      <c r="A180" s="347">
        <f t="shared" ca="1" si="64"/>
        <v>0.01</v>
      </c>
      <c r="B180" s="304">
        <f t="shared" ca="1" si="65"/>
        <v>8.3599999999999621</v>
      </c>
      <c r="D180" s="306">
        <f t="shared" ca="1" si="66"/>
        <v>-1.3201480984869518</v>
      </c>
      <c r="E180" s="307">
        <f t="shared" ca="1" si="67"/>
        <v>-16.848575095652386</v>
      </c>
      <c r="F180" s="304">
        <f t="shared" ca="1" si="68"/>
        <v>16.900215198504917</v>
      </c>
      <c r="G180" s="306">
        <f t="shared" ca="1" si="69"/>
        <v>24.989913839871125</v>
      </c>
      <c r="H180" s="307">
        <f t="shared" ca="1" si="70"/>
        <v>133.13951583826136</v>
      </c>
      <c r="I180" s="304">
        <f t="shared" ca="1" si="71"/>
        <v>135.46448416972927</v>
      </c>
      <c r="J180" s="306">
        <f t="shared" ca="1" si="72"/>
        <v>154.96640901182874</v>
      </c>
      <c r="K180" s="307">
        <f t="shared" ca="1" si="73"/>
        <v>1179.1641425997207</v>
      </c>
      <c r="L180" s="304">
        <f t="shared" ca="1" si="58"/>
        <v>1189.3034360981876</v>
      </c>
      <c r="M180" s="306">
        <f t="shared" ca="1" si="74"/>
        <v>1.3852578845363441</v>
      </c>
      <c r="N180" s="304">
        <f t="shared" ca="1" si="75"/>
        <v>79.369430321153217</v>
      </c>
      <c r="P180" s="310">
        <f t="shared" ca="1" si="76"/>
        <v>13</v>
      </c>
      <c r="Q180" s="304">
        <f t="shared" ca="1" si="77"/>
        <v>0</v>
      </c>
      <c r="R180" s="306">
        <f t="shared" ca="1" si="78"/>
        <v>0</v>
      </c>
      <c r="S180" s="307">
        <f t="shared" ca="1" si="79"/>
        <v>4.0843000000000034</v>
      </c>
      <c r="T180" s="304">
        <f t="shared" ca="1" si="59"/>
        <v>40.066983000000036</v>
      </c>
      <c r="U180" s="311">
        <f t="shared" ca="1" si="60"/>
        <v>0</v>
      </c>
      <c r="V180" s="306">
        <f t="shared" ca="1" si="61"/>
        <v>1.0885946097816728</v>
      </c>
      <c r="W180" s="304">
        <f t="shared" ca="1" si="62"/>
        <v>29.172603281276114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1179.1641425997207</v>
      </c>
      <c r="AG180" s="306">
        <f t="shared" ca="1" si="85"/>
        <v>-16.803180967339578</v>
      </c>
      <c r="AH180" s="304">
        <f t="shared" ca="1" si="86"/>
        <v>-7.1613078679160758</v>
      </c>
    </row>
    <row r="181" spans="1:34" x14ac:dyDescent="0.2">
      <c r="A181" s="347">
        <f t="shared" ca="1" si="64"/>
        <v>0.01</v>
      </c>
      <c r="B181" s="304">
        <f t="shared" ca="1" si="65"/>
        <v>8.3699999999999619</v>
      </c>
      <c r="D181" s="306">
        <f t="shared" ca="1" si="66"/>
        <v>-1.3176402805932339</v>
      </c>
      <c r="E181" s="307">
        <f t="shared" ca="1" si="67"/>
        <v>-16.830031766867375</v>
      </c>
      <c r="F181" s="304">
        <f t="shared" ca="1" si="68"/>
        <v>16.881532666876158</v>
      </c>
      <c r="G181" s="306">
        <f t="shared" ca="1" si="69"/>
        <v>24.976737437065193</v>
      </c>
      <c r="H181" s="307">
        <f t="shared" ca="1" si="70"/>
        <v>132.97121552059269</v>
      </c>
      <c r="I181" s="304">
        <f t="shared" ca="1" si="71"/>
        <v>135.29664286309549</v>
      </c>
      <c r="J181" s="306">
        <f t="shared" ca="1" si="72"/>
        <v>155.21624226821342</v>
      </c>
      <c r="K181" s="307">
        <f t="shared" ca="1" si="73"/>
        <v>1180.494696256515</v>
      </c>
      <c r="L181" s="304">
        <f t="shared" ca="1" si="58"/>
        <v>1190.6552018756843</v>
      </c>
      <c r="M181" s="306">
        <f t="shared" ca="1" si="74"/>
        <v>1.3851241260642206</v>
      </c>
      <c r="N181" s="304">
        <f t="shared" ca="1" si="75"/>
        <v>79.361766525226429</v>
      </c>
      <c r="P181" s="310">
        <f t="shared" ca="1" si="76"/>
        <v>13</v>
      </c>
      <c r="Q181" s="304">
        <f t="shared" ca="1" si="77"/>
        <v>0</v>
      </c>
      <c r="R181" s="306">
        <f t="shared" ca="1" si="78"/>
        <v>0</v>
      </c>
      <c r="S181" s="307">
        <f t="shared" ca="1" si="79"/>
        <v>4.0843000000000034</v>
      </c>
      <c r="T181" s="304">
        <f t="shared" ca="1" si="59"/>
        <v>40.066983000000036</v>
      </c>
      <c r="U181" s="311">
        <f t="shared" ca="1" si="60"/>
        <v>0</v>
      </c>
      <c r="V181" s="306">
        <f t="shared" ca="1" si="61"/>
        <v>1.0884492703166355</v>
      </c>
      <c r="W181" s="304">
        <f t="shared" ca="1" si="62"/>
        <v>29.096472784220268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1180.494696256515</v>
      </c>
      <c r="AG181" s="306">
        <f t="shared" ca="1" si="85"/>
        <v>-16.784251695215332</v>
      </c>
      <c r="AH181" s="304">
        <f t="shared" ca="1" si="86"/>
        <v>-7.1426201016761963</v>
      </c>
    </row>
    <row r="182" spans="1:34" x14ac:dyDescent="0.2">
      <c r="A182" s="347">
        <f t="shared" ca="1" si="64"/>
        <v>0.01</v>
      </c>
      <c r="B182" s="304">
        <f t="shared" ca="1" si="65"/>
        <v>8.3799999999999617</v>
      </c>
      <c r="D182" s="306">
        <f t="shared" ca="1" si="66"/>
        <v>-1.3151382175442101</v>
      </c>
      <c r="E182" s="307">
        <f t="shared" ca="1" si="67"/>
        <v>-16.811536041489795</v>
      </c>
      <c r="F182" s="304">
        <f t="shared" ca="1" si="68"/>
        <v>16.862898108141309</v>
      </c>
      <c r="G182" s="306">
        <f t="shared" ca="1" si="69"/>
        <v>24.963586054889749</v>
      </c>
      <c r="H182" s="307">
        <f t="shared" ca="1" si="70"/>
        <v>132.80310016017779</v>
      </c>
      <c r="I182" s="304">
        <f t="shared" ca="1" si="71"/>
        <v>135.12899037909705</v>
      </c>
      <c r="J182" s="306">
        <f t="shared" ca="1" si="72"/>
        <v>155.4659438856732</v>
      </c>
      <c r="K182" s="307">
        <f t="shared" ca="1" si="73"/>
        <v>1181.8235678349188</v>
      </c>
      <c r="L182" s="304">
        <f t="shared" ca="1" si="58"/>
        <v>1192.005287403676</v>
      </c>
      <c r="M182" s="306">
        <f t="shared" ca="1" si="74"/>
        <v>1.3849901062027576</v>
      </c>
      <c r="N182" s="304">
        <f t="shared" ca="1" si="75"/>
        <v>79.354087752793674</v>
      </c>
      <c r="P182" s="310">
        <f t="shared" ca="1" si="76"/>
        <v>13</v>
      </c>
      <c r="Q182" s="304">
        <f t="shared" ca="1" si="77"/>
        <v>0</v>
      </c>
      <c r="R182" s="306">
        <f t="shared" ca="1" si="78"/>
        <v>0</v>
      </c>
      <c r="S182" s="307">
        <f t="shared" ca="1" si="79"/>
        <v>4.0843000000000034</v>
      </c>
      <c r="T182" s="304">
        <f t="shared" ca="1" si="59"/>
        <v>40.066983000000036</v>
      </c>
      <c r="U182" s="311">
        <f t="shared" ca="1" si="60"/>
        <v>0</v>
      </c>
      <c r="V182" s="306">
        <f t="shared" ca="1" si="61"/>
        <v>1.0883041328135514</v>
      </c>
      <c r="W182" s="304">
        <f t="shared" ca="1" si="62"/>
        <v>29.020537611326844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1181.8235678349188</v>
      </c>
      <c r="AG182" s="306">
        <f t="shared" ca="1" si="85"/>
        <v>-16.765369754617325</v>
      </c>
      <c r="AH182" s="304">
        <f t="shared" ca="1" si="86"/>
        <v>-7.1239803110007207</v>
      </c>
    </row>
    <row r="183" spans="1:34" x14ac:dyDescent="0.2">
      <c r="A183" s="347">
        <f t="shared" ca="1" si="64"/>
        <v>0.01</v>
      </c>
      <c r="B183" s="304">
        <f t="shared" ca="1" si="65"/>
        <v>8.3899999999999615</v>
      </c>
      <c r="D183" s="306">
        <f t="shared" ca="1" si="66"/>
        <v>-1.3126418903047321</v>
      </c>
      <c r="E183" s="307">
        <f t="shared" ca="1" si="67"/>
        <v>-16.793087768291166</v>
      </c>
      <c r="F183" s="304">
        <f t="shared" ca="1" si="68"/>
        <v>16.844311369887258</v>
      </c>
      <c r="G183" s="306">
        <f t="shared" ca="1" si="69"/>
        <v>24.9504596359867</v>
      </c>
      <c r="H183" s="307">
        <f t="shared" ca="1" si="70"/>
        <v>132.63516928249487</v>
      </c>
      <c r="I183" s="304">
        <f t="shared" ca="1" si="71"/>
        <v>134.96152624597528</v>
      </c>
      <c r="J183" s="306">
        <f t="shared" ca="1" si="72"/>
        <v>155.71551411412759</v>
      </c>
      <c r="K183" s="307">
        <f t="shared" ca="1" si="73"/>
        <v>1183.1507591821321</v>
      </c>
      <c r="L183" s="304">
        <f t="shared" ca="1" si="58"/>
        <v>1193.3536945470453</v>
      </c>
      <c r="M183" s="306">
        <f t="shared" ca="1" si="74"/>
        <v>1.3848558243056222</v>
      </c>
      <c r="N183" s="304">
        <f t="shared" ca="1" si="75"/>
        <v>79.346393966822802</v>
      </c>
      <c r="P183" s="310">
        <f t="shared" ca="1" si="76"/>
        <v>13</v>
      </c>
      <c r="Q183" s="304">
        <f t="shared" ca="1" si="77"/>
        <v>0</v>
      </c>
      <c r="R183" s="306">
        <f t="shared" ca="1" si="78"/>
        <v>0</v>
      </c>
      <c r="S183" s="307">
        <f t="shared" ca="1" si="79"/>
        <v>4.0843000000000034</v>
      </c>
      <c r="T183" s="304">
        <f t="shared" ca="1" si="59"/>
        <v>40.066983000000036</v>
      </c>
      <c r="U183" s="311">
        <f t="shared" ca="1" si="60"/>
        <v>0</v>
      </c>
      <c r="V183" s="306">
        <f t="shared" ca="1" si="61"/>
        <v>1.0881591969981268</v>
      </c>
      <c r="W183" s="304">
        <f t="shared" ca="1" si="62"/>
        <v>28.944797142725662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1183.1507591821321</v>
      </c>
      <c r="AG183" s="306">
        <f t="shared" ca="1" si="85"/>
        <v>-16.746534990976709</v>
      </c>
      <c r="AH183" s="304">
        <f t="shared" ca="1" si="86"/>
        <v>-7.1053883434925984</v>
      </c>
    </row>
    <row r="184" spans="1:34" x14ac:dyDescent="0.2">
      <c r="A184" s="347">
        <f t="shared" ca="1" si="64"/>
        <v>0.01</v>
      </c>
      <c r="B184" s="304">
        <f t="shared" ca="1" si="65"/>
        <v>8.3999999999999613</v>
      </c>
      <c r="D184" s="306">
        <f t="shared" ca="1" si="66"/>
        <v>-1.3101512799173058</v>
      </c>
      <c r="E184" s="307">
        <f t="shared" ca="1" si="67"/>
        <v>-16.774686796666188</v>
      </c>
      <c r="F184" s="304">
        <f t="shared" ca="1" si="68"/>
        <v>16.825772300328918</v>
      </c>
      <c r="G184" s="306">
        <f t="shared" ca="1" si="69"/>
        <v>24.937358123187526</v>
      </c>
      <c r="H184" s="307">
        <f t="shared" ca="1" si="70"/>
        <v>132.46742241452822</v>
      </c>
      <c r="I184" s="304">
        <f t="shared" ca="1" si="71"/>
        <v>134.79424999351107</v>
      </c>
      <c r="J184" s="306">
        <f t="shared" ca="1" si="72"/>
        <v>155.96495320292345</v>
      </c>
      <c r="K184" s="307">
        <f t="shared" ca="1" si="73"/>
        <v>1184.4762721406173</v>
      </c>
      <c r="L184" s="304">
        <f t="shared" ca="1" si="58"/>
        <v>1194.7004251659591</v>
      </c>
      <c r="M184" s="306">
        <f t="shared" ca="1" si="74"/>
        <v>1.3847212797242552</v>
      </c>
      <c r="N184" s="304">
        <f t="shared" ca="1" si="75"/>
        <v>79.338685130154118</v>
      </c>
      <c r="P184" s="310">
        <f t="shared" ca="1" si="76"/>
        <v>13</v>
      </c>
      <c r="Q184" s="304">
        <f t="shared" ca="1" si="77"/>
        <v>0</v>
      </c>
      <c r="R184" s="306">
        <f t="shared" ca="1" si="78"/>
        <v>0</v>
      </c>
      <c r="S184" s="307">
        <f t="shared" ca="1" si="79"/>
        <v>4.0843000000000034</v>
      </c>
      <c r="T184" s="304">
        <f t="shared" ca="1" si="59"/>
        <v>40.066983000000036</v>
      </c>
      <c r="U184" s="311">
        <f t="shared" ca="1" si="60"/>
        <v>0</v>
      </c>
      <c r="V184" s="306">
        <f t="shared" ca="1" si="61"/>
        <v>1.0880144625968002</v>
      </c>
      <c r="W184" s="304">
        <f t="shared" ca="1" si="62"/>
        <v>28.869250761098936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1184.4762721406173</v>
      </c>
      <c r="AG184" s="306">
        <f t="shared" ca="1" si="85"/>
        <v>-16.72774725034342</v>
      </c>
      <c r="AH184" s="304">
        <f t="shared" ca="1" si="86"/>
        <v>-7.0868440473828169</v>
      </c>
    </row>
    <row r="185" spans="1:34" x14ac:dyDescent="0.2">
      <c r="A185" s="347">
        <f t="shared" ca="1" si="64"/>
        <v>0.01</v>
      </c>
      <c r="B185" s="304">
        <f t="shared" ca="1" si="65"/>
        <v>8.4099999999999611</v>
      </c>
      <c r="D185" s="306">
        <f t="shared" ca="1" si="66"/>
        <v>-1.3076663675017064</v>
      </c>
      <c r="E185" s="307">
        <f t="shared" ca="1" si="67"/>
        <v>-16.756332976629626</v>
      </c>
      <c r="F185" s="304">
        <f t="shared" ca="1" si="68"/>
        <v>16.807280748306088</v>
      </c>
      <c r="G185" s="306">
        <f t="shared" ca="1" si="69"/>
        <v>24.924281459512507</v>
      </c>
      <c r="H185" s="307">
        <f t="shared" ca="1" si="70"/>
        <v>132.29985908476192</v>
      </c>
      <c r="I185" s="304">
        <f t="shared" ca="1" si="71"/>
        <v>134.62716115301868</v>
      </c>
      <c r="J185" s="306">
        <f t="shared" ca="1" si="72"/>
        <v>156.21426140083696</v>
      </c>
      <c r="K185" s="307">
        <f t="shared" ca="1" si="73"/>
        <v>1185.8001085481137</v>
      </c>
      <c r="L185" s="304">
        <f t="shared" ca="1" si="58"/>
        <v>1196.0454811158843</v>
      </c>
      <c r="M185" s="306">
        <f t="shared" ca="1" si="74"/>
        <v>1.3845864718078622</v>
      </c>
      <c r="N185" s="304">
        <f t="shared" ca="1" si="75"/>
        <v>79.330961205499847</v>
      </c>
      <c r="P185" s="310">
        <f t="shared" ca="1" si="76"/>
        <v>13</v>
      </c>
      <c r="Q185" s="304">
        <f t="shared" ca="1" si="77"/>
        <v>0</v>
      </c>
      <c r="R185" s="306">
        <f t="shared" ca="1" si="78"/>
        <v>0</v>
      </c>
      <c r="S185" s="307">
        <f t="shared" ca="1" si="79"/>
        <v>4.0843000000000034</v>
      </c>
      <c r="T185" s="304">
        <f t="shared" ca="1" si="59"/>
        <v>40.066983000000036</v>
      </c>
      <c r="U185" s="311">
        <f t="shared" ca="1" si="60"/>
        <v>0</v>
      </c>
      <c r="V185" s="306">
        <f t="shared" ca="1" si="61"/>
        <v>1.0878699293367411</v>
      </c>
      <c r="W185" s="304">
        <f t="shared" ca="1" si="62"/>
        <v>28.793897851668792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1185.8001085481137</v>
      </c>
      <c r="AG185" s="306">
        <f t="shared" ca="1" si="85"/>
        <v>-16.709006379382998</v>
      </c>
      <c r="AH185" s="304">
        <f t="shared" ca="1" si="86"/>
        <v>-7.0683472715272906</v>
      </c>
    </row>
    <row r="186" spans="1:34" x14ac:dyDescent="0.2">
      <c r="A186" s="347">
        <f t="shared" ca="1" si="64"/>
        <v>0.01</v>
      </c>
      <c r="B186" s="304">
        <f t="shared" ca="1" si="65"/>
        <v>8.4199999999999608</v>
      </c>
      <c r="D186" s="306">
        <f t="shared" ca="1" si="66"/>
        <v>-1.3051871342546013</v>
      </c>
      <c r="E186" s="307">
        <f t="shared" ca="1" si="67"/>
        <v>-16.738026158813305</v>
      </c>
      <c r="F186" s="304">
        <f t="shared" ca="1" si="68"/>
        <v>16.788836563280441</v>
      </c>
      <c r="G186" s="306">
        <f t="shared" ca="1" si="69"/>
        <v>24.911229588169959</v>
      </c>
      <c r="H186" s="307">
        <f t="shared" ca="1" si="70"/>
        <v>132.13247882317378</v>
      </c>
      <c r="I186" s="304">
        <f t="shared" ca="1" si="71"/>
        <v>134.4602592573396</v>
      </c>
      <c r="J186" s="306">
        <f t="shared" ca="1" si="72"/>
        <v>156.46343895607538</v>
      </c>
      <c r="K186" s="307">
        <f t="shared" ca="1" si="73"/>
        <v>1187.1222702376533</v>
      </c>
      <c r="L186" s="304">
        <f t="shared" ca="1" si="58"/>
        <v>1197.3888642476018</v>
      </c>
      <c r="M186" s="306">
        <f t="shared" ca="1" si="74"/>
        <v>1.3844513999034032</v>
      </c>
      <c r="N186" s="304">
        <f t="shared" ca="1" si="75"/>
        <v>79.323222155443545</v>
      </c>
      <c r="P186" s="310">
        <f t="shared" ca="1" si="76"/>
        <v>13</v>
      </c>
      <c r="Q186" s="304">
        <f t="shared" ca="1" si="77"/>
        <v>0</v>
      </c>
      <c r="R186" s="306">
        <f t="shared" ca="1" si="78"/>
        <v>0</v>
      </c>
      <c r="S186" s="307">
        <f t="shared" ca="1" si="79"/>
        <v>4.0843000000000034</v>
      </c>
      <c r="T186" s="304">
        <f t="shared" ca="1" si="59"/>
        <v>40.066983000000036</v>
      </c>
      <c r="U186" s="311">
        <f t="shared" ca="1" si="60"/>
        <v>0</v>
      </c>
      <c r="V186" s="306">
        <f t="shared" ca="1" si="61"/>
        <v>1.0877255969458457</v>
      </c>
      <c r="W186" s="304">
        <f t="shared" ca="1" si="62"/>
        <v>28.718737802184762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1187.1222702376533</v>
      </c>
      <c r="AG186" s="306">
        <f t="shared" ca="1" si="85"/>
        <v>-16.690312225373496</v>
      </c>
      <c r="AH186" s="304">
        <f t="shared" ca="1" si="86"/>
        <v>-7.0498978654038069</v>
      </c>
    </row>
    <row r="187" spans="1:34" x14ac:dyDescent="0.2">
      <c r="A187" s="347">
        <f t="shared" ca="1" si="64"/>
        <v>0.01</v>
      </c>
      <c r="B187" s="304">
        <f t="shared" ca="1" si="65"/>
        <v>8.4299999999999606</v>
      </c>
      <c r="D187" s="306">
        <f t="shared" ca="1" si="66"/>
        <v>-1.302713561449176</v>
      </c>
      <c r="E187" s="307">
        <f t="shared" ca="1" si="67"/>
        <v>-16.719766194463055</v>
      </c>
      <c r="F187" s="304">
        <f t="shared" ca="1" si="68"/>
        <v>16.770439595332412</v>
      </c>
      <c r="G187" s="306">
        <f t="shared" ca="1" si="69"/>
        <v>24.898202452555466</v>
      </c>
      <c r="H187" s="307">
        <f t="shared" ca="1" si="70"/>
        <v>131.96528116122914</v>
      </c>
      <c r="I187" s="304">
        <f t="shared" ca="1" si="71"/>
        <v>134.29354384083658</v>
      </c>
      <c r="J187" s="306">
        <f t="shared" ca="1" si="72"/>
        <v>156.712486116279</v>
      </c>
      <c r="K187" s="307">
        <f t="shared" ca="1" si="73"/>
        <v>1188.4427590375753</v>
      </c>
      <c r="L187" s="304">
        <f t="shared" ca="1" si="58"/>
        <v>1198.7305764072214</v>
      </c>
      <c r="M187" s="306">
        <f t="shared" ca="1" si="74"/>
        <v>1.3843160633555844</v>
      </c>
      <c r="N187" s="304">
        <f t="shared" ca="1" si="75"/>
        <v>79.315467942439668</v>
      </c>
      <c r="P187" s="310">
        <f t="shared" ca="1" si="76"/>
        <v>13</v>
      </c>
      <c r="Q187" s="304">
        <f t="shared" ca="1" si="77"/>
        <v>0</v>
      </c>
      <c r="R187" s="306">
        <f t="shared" ca="1" si="78"/>
        <v>0</v>
      </c>
      <c r="S187" s="307">
        <f t="shared" ca="1" si="79"/>
        <v>4.0843000000000034</v>
      </c>
      <c r="T187" s="304">
        <f t="shared" ca="1" si="59"/>
        <v>40.066983000000036</v>
      </c>
      <c r="U187" s="311">
        <f t="shared" ca="1" si="60"/>
        <v>0</v>
      </c>
      <c r="V187" s="306">
        <f t="shared" ca="1" si="61"/>
        <v>1.0875814651527362</v>
      </c>
      <c r="W187" s="304">
        <f t="shared" ca="1" si="62"/>
        <v>28.643770002911417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1188.4427590375753</v>
      </c>
      <c r="AG187" s="306">
        <f t="shared" ca="1" si="85"/>
        <v>-16.671664636202355</v>
      </c>
      <c r="AH187" s="304">
        <f t="shared" ca="1" si="86"/>
        <v>-7.0314956791089633</v>
      </c>
    </row>
    <row r="188" spans="1:34" x14ac:dyDescent="0.2">
      <c r="A188" s="347">
        <f t="shared" ca="1" si="64"/>
        <v>0.01</v>
      </c>
      <c r="B188" s="304">
        <f t="shared" ca="1" si="65"/>
        <v>8.4399999999999604</v>
      </c>
      <c r="D188" s="306">
        <f t="shared" ca="1" si="66"/>
        <v>-1.3002456304347492</v>
      </c>
      <c r="E188" s="307">
        <f t="shared" ca="1" si="67"/>
        <v>-16.701552935435711</v>
      </c>
      <c r="F188" s="304">
        <f t="shared" ca="1" si="68"/>
        <v>16.752089695158212</v>
      </c>
      <c r="G188" s="306">
        <f t="shared" ca="1" si="69"/>
        <v>24.885199996251117</v>
      </c>
      <c r="H188" s="307">
        <f t="shared" ca="1" si="70"/>
        <v>131.79826563187478</v>
      </c>
      <c r="I188" s="304">
        <f t="shared" ca="1" si="71"/>
        <v>134.12701443938744</v>
      </c>
      <c r="J188" s="306">
        <f t="shared" ca="1" si="72"/>
        <v>156.96140312852302</v>
      </c>
      <c r="K188" s="307">
        <f t="shared" ca="1" si="73"/>
        <v>1189.7615767715408</v>
      </c>
      <c r="L188" s="304">
        <f t="shared" ca="1" si="58"/>
        <v>1200.0706194361971</v>
      </c>
      <c r="M188" s="306">
        <f t="shared" ca="1" si="74"/>
        <v>1.3841804615068487</v>
      </c>
      <c r="N188" s="304">
        <f t="shared" ca="1" si="75"/>
        <v>79.307698528812935</v>
      </c>
      <c r="P188" s="310">
        <f t="shared" ca="1" si="76"/>
        <v>13</v>
      </c>
      <c r="Q188" s="304">
        <f t="shared" ca="1" si="77"/>
        <v>0</v>
      </c>
      <c r="R188" s="306">
        <f t="shared" ca="1" si="78"/>
        <v>0</v>
      </c>
      <c r="S188" s="307">
        <f t="shared" ca="1" si="79"/>
        <v>4.0843000000000034</v>
      </c>
      <c r="T188" s="304">
        <f t="shared" ca="1" si="59"/>
        <v>40.066983000000036</v>
      </c>
      <c r="U188" s="311">
        <f t="shared" ca="1" si="60"/>
        <v>0</v>
      </c>
      <c r="V188" s="306">
        <f t="shared" ca="1" si="61"/>
        <v>1.0874375336867577</v>
      </c>
      <c r="W188" s="304">
        <f t="shared" ca="1" si="62"/>
        <v>28.568993846616067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1189.7615767715408</v>
      </c>
      <c r="AG188" s="306">
        <f t="shared" ca="1" si="85"/>
        <v>-16.653063460363359</v>
      </c>
      <c r="AH188" s="304">
        <f t="shared" ca="1" si="86"/>
        <v>-7.0131405633551385</v>
      </c>
    </row>
    <row r="189" spans="1:34" x14ac:dyDescent="0.2">
      <c r="A189" s="347">
        <f t="shared" ca="1" si="64"/>
        <v>0.01</v>
      </c>
      <c r="B189" s="304">
        <f t="shared" ca="1" si="65"/>
        <v>8.4499999999999602</v>
      </c>
      <c r="D189" s="306">
        <f t="shared" ca="1" si="66"/>
        <v>-1.2977833226364059</v>
      </c>
      <c r="E189" s="307">
        <f t="shared" ca="1" si="67"/>
        <v>-16.683386234196135</v>
      </c>
      <c r="F189" s="304">
        <f t="shared" ca="1" si="68"/>
        <v>16.733786714066792</v>
      </c>
      <c r="G189" s="306">
        <f t="shared" ca="1" si="69"/>
        <v>24.872222163024752</v>
      </c>
      <c r="H189" s="307">
        <f t="shared" ca="1" si="70"/>
        <v>131.63143176953281</v>
      </c>
      <c r="I189" s="304">
        <f t="shared" ca="1" si="71"/>
        <v>133.96067059037898</v>
      </c>
      <c r="J189" s="306">
        <f t="shared" ca="1" si="72"/>
        <v>157.21019023931939</v>
      </c>
      <c r="K189" s="307">
        <f t="shared" ca="1" si="73"/>
        <v>1191.0787252585478</v>
      </c>
      <c r="L189" s="304">
        <f t="shared" ca="1" si="58"/>
        <v>1201.4089951713406</v>
      </c>
      <c r="M189" s="306">
        <f t="shared" ca="1" si="74"/>
        <v>1.3840445936973651</v>
      </c>
      <c r="N189" s="304">
        <f t="shared" ca="1" si="75"/>
        <v>79.299913876757842</v>
      </c>
      <c r="P189" s="310">
        <f t="shared" ca="1" si="76"/>
        <v>13</v>
      </c>
      <c r="Q189" s="304">
        <f t="shared" ca="1" si="77"/>
        <v>0</v>
      </c>
      <c r="R189" s="306">
        <f t="shared" ca="1" si="78"/>
        <v>0</v>
      </c>
      <c r="S189" s="307">
        <f t="shared" ca="1" si="79"/>
        <v>4.0843000000000034</v>
      </c>
      <c r="T189" s="304">
        <f t="shared" ca="1" si="59"/>
        <v>40.066983000000036</v>
      </c>
      <c r="U189" s="311">
        <f t="shared" ca="1" si="60"/>
        <v>0</v>
      </c>
      <c r="V189" s="306">
        <f t="shared" ca="1" si="61"/>
        <v>1.0872938022779757</v>
      </c>
      <c r="W189" s="304">
        <f t="shared" ca="1" si="62"/>
        <v>28.494408728556404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1191.0787252585478</v>
      </c>
      <c r="AG189" s="306">
        <f t="shared" ca="1" si="85"/>
        <v>-16.634508546953544</v>
      </c>
      <c r="AH189" s="304">
        <f t="shared" ca="1" si="86"/>
        <v>-6.9948323694674839</v>
      </c>
    </row>
    <row r="190" spans="1:34" x14ac:dyDescent="0.2">
      <c r="A190" s="347">
        <f t="shared" ca="1" si="64"/>
        <v>0.01</v>
      </c>
      <c r="B190" s="304">
        <f t="shared" ca="1" si="65"/>
        <v>8.45999999999996</v>
      </c>
      <c r="D190" s="306">
        <f t="shared" ca="1" si="66"/>
        <v>-1.2953266195546236</v>
      </c>
      <c r="E190" s="307">
        <f t="shared" ca="1" si="67"/>
        <v>-16.665265943814187</v>
      </c>
      <c r="F190" s="304">
        <f t="shared" ca="1" si="68"/>
        <v>16.715530503976826</v>
      </c>
      <c r="G190" s="306">
        <f t="shared" ca="1" si="69"/>
        <v>24.859268896829207</v>
      </c>
      <c r="H190" s="307">
        <f t="shared" ca="1" si="70"/>
        <v>131.46477911009467</v>
      </c>
      <c r="I190" s="304">
        <f t="shared" ca="1" si="71"/>
        <v>133.79451183270129</v>
      </c>
      <c r="J190" s="306">
        <f t="shared" ca="1" si="72"/>
        <v>157.45884769461867</v>
      </c>
      <c r="K190" s="307">
        <f t="shared" ca="1" si="73"/>
        <v>1192.3942063129459</v>
      </c>
      <c r="L190" s="304">
        <f t="shared" ca="1" si="58"/>
        <v>1202.7457054448366</v>
      </c>
      <c r="M190" s="306">
        <f t="shared" ca="1" si="74"/>
        <v>1.3839084592650206</v>
      </c>
      <c r="N190" s="304">
        <f t="shared" ca="1" si="75"/>
        <v>79.292113948338084</v>
      </c>
      <c r="P190" s="310">
        <f t="shared" ca="1" si="76"/>
        <v>13</v>
      </c>
      <c r="Q190" s="304">
        <f t="shared" ca="1" si="77"/>
        <v>0</v>
      </c>
      <c r="R190" s="306">
        <f t="shared" ca="1" si="78"/>
        <v>0</v>
      </c>
      <c r="S190" s="307">
        <f t="shared" ca="1" si="79"/>
        <v>4.0843000000000034</v>
      </c>
      <c r="T190" s="304">
        <f t="shared" ca="1" si="59"/>
        <v>40.066983000000036</v>
      </c>
      <c r="U190" s="311">
        <f t="shared" ca="1" si="60"/>
        <v>0</v>
      </c>
      <c r="V190" s="306">
        <f t="shared" ca="1" si="61"/>
        <v>1.0871502706571738</v>
      </c>
      <c r="W190" s="304">
        <f t="shared" ca="1" si="62"/>
        <v>28.420014046468513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1192.3942063129459</v>
      </c>
      <c r="AG190" s="306">
        <f t="shared" ca="1" si="85"/>
        <v>-16.615999745670138</v>
      </c>
      <c r="AH190" s="304">
        <f t="shared" ca="1" si="86"/>
        <v>-6.9765709493808927</v>
      </c>
    </row>
    <row r="191" spans="1:34" x14ac:dyDescent="0.2">
      <c r="A191" s="347">
        <f t="shared" ca="1" si="64"/>
        <v>0.01</v>
      </c>
      <c r="B191" s="304">
        <f t="shared" ca="1" si="65"/>
        <v>8.4699999999999598</v>
      </c>
      <c r="D191" s="306">
        <f t="shared" ca="1" si="66"/>
        <v>-1.2928755027649055</v>
      </c>
      <c r="E191" s="307">
        <f t="shared" ca="1" si="67"/>
        <v>-16.647191917961841</v>
      </c>
      <c r="F191" s="304">
        <f t="shared" ca="1" si="68"/>
        <v>16.697320917413776</v>
      </c>
      <c r="G191" s="306">
        <f t="shared" ca="1" si="69"/>
        <v>24.846340141801559</v>
      </c>
      <c r="H191" s="307">
        <f t="shared" ca="1" si="70"/>
        <v>131.29830719091504</v>
      </c>
      <c r="I191" s="304">
        <f t="shared" ca="1" si="71"/>
        <v>133.62853770674133</v>
      </c>
      <c r="J191" s="306">
        <f t="shared" ca="1" si="72"/>
        <v>157.70737573981182</v>
      </c>
      <c r="K191" s="307">
        <f t="shared" ca="1" si="73"/>
        <v>1193.7080217444509</v>
      </c>
      <c r="L191" s="304">
        <f t="shared" ca="1" si="58"/>
        <v>1204.0807520842566</v>
      </c>
      <c r="M191" s="306">
        <f t="shared" ca="1" si="74"/>
        <v>1.38377205754541</v>
      </c>
      <c r="N191" s="304">
        <f t="shared" ca="1" si="75"/>
        <v>79.28429870548608</v>
      </c>
      <c r="P191" s="310">
        <f t="shared" ca="1" si="76"/>
        <v>13</v>
      </c>
      <c r="Q191" s="304">
        <f t="shared" ca="1" si="77"/>
        <v>0</v>
      </c>
      <c r="R191" s="306">
        <f t="shared" ca="1" si="78"/>
        <v>0</v>
      </c>
      <c r="S191" s="307">
        <f t="shared" ca="1" si="79"/>
        <v>4.0843000000000034</v>
      </c>
      <c r="T191" s="304">
        <f t="shared" ca="1" si="59"/>
        <v>40.066983000000036</v>
      </c>
      <c r="U191" s="311">
        <f t="shared" ca="1" si="60"/>
        <v>0</v>
      </c>
      <c r="V191" s="306">
        <f t="shared" ca="1" si="61"/>
        <v>1.0870069385558523</v>
      </c>
      <c r="W191" s="304">
        <f t="shared" ca="1" si="62"/>
        <v>28.345809200554552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1193.7080217444509</v>
      </c>
      <c r="AG191" s="306">
        <f t="shared" ca="1" si="85"/>
        <v>-16.597536906807576</v>
      </c>
      <c r="AH191" s="304">
        <f t="shared" ca="1" si="86"/>
        <v>-6.9583561556370714</v>
      </c>
    </row>
    <row r="192" spans="1:34" x14ac:dyDescent="0.2">
      <c r="A192" s="347">
        <f t="shared" ca="1" si="64"/>
        <v>0.01</v>
      </c>
      <c r="B192" s="304">
        <f t="shared" ca="1" si="65"/>
        <v>8.4799999999999596</v>
      </c>
      <c r="D192" s="306">
        <f t="shared" ca="1" si="66"/>
        <v>-1.2904299539174064</v>
      </c>
      <c r="E192" s="307">
        <f t="shared" ca="1" si="67"/>
        <v>-16.629164010910173</v>
      </c>
      <c r="F192" s="304">
        <f t="shared" ca="1" si="68"/>
        <v>16.679157807506872</v>
      </c>
      <c r="G192" s="306">
        <f t="shared" ca="1" si="69"/>
        <v>24.833435842262386</v>
      </c>
      <c r="H192" s="307">
        <f t="shared" ca="1" si="70"/>
        <v>131.13201555080593</v>
      </c>
      <c r="I192" s="304">
        <f t="shared" ca="1" si="71"/>
        <v>133.4627477543774</v>
      </c>
      <c r="J192" s="306">
        <f t="shared" ca="1" si="72"/>
        <v>157.95577461973215</v>
      </c>
      <c r="K192" s="307">
        <f t="shared" ca="1" si="73"/>
        <v>1195.0201733581596</v>
      </c>
      <c r="L192" s="304">
        <f t="shared" ca="1" si="58"/>
        <v>1205.4141369125739</v>
      </c>
      <c r="M192" s="306">
        <f t="shared" ca="1" si="74"/>
        <v>1.3836353878718257</v>
      </c>
      <c r="N192" s="304">
        <f t="shared" ca="1" si="75"/>
        <v>79.27646811000227</v>
      </c>
      <c r="P192" s="310">
        <f t="shared" ca="1" si="76"/>
        <v>13</v>
      </c>
      <c r="Q192" s="304">
        <f t="shared" ca="1" si="77"/>
        <v>0</v>
      </c>
      <c r="R192" s="306">
        <f t="shared" ca="1" si="78"/>
        <v>0</v>
      </c>
      <c r="S192" s="307">
        <f t="shared" ca="1" si="79"/>
        <v>4.0843000000000034</v>
      </c>
      <c r="T192" s="304">
        <f t="shared" ca="1" si="59"/>
        <v>40.066983000000036</v>
      </c>
      <c r="U192" s="311">
        <f t="shared" ca="1" si="60"/>
        <v>0</v>
      </c>
      <c r="V192" s="306">
        <f t="shared" ca="1" si="61"/>
        <v>1.0868638057062245</v>
      </c>
      <c r="W192" s="304">
        <f t="shared" ca="1" si="62"/>
        <v>28.271793593470893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1195.0201733581596</v>
      </c>
      <c r="AG192" s="306">
        <f t="shared" ca="1" si="85"/>
        <v>-16.579119881254442</v>
      </c>
      <c r="AH192" s="304">
        <f t="shared" ca="1" si="86"/>
        <v>-6.9401878413815163</v>
      </c>
    </row>
    <row r="193" spans="1:34" x14ac:dyDescent="0.2">
      <c r="A193" s="347">
        <f t="shared" ca="1" si="64"/>
        <v>0.01</v>
      </c>
      <c r="B193" s="304">
        <f t="shared" ca="1" si="65"/>
        <v>8.4899999999999594</v>
      </c>
      <c r="D193" s="306">
        <f t="shared" ca="1" si="66"/>
        <v>-1.2879899547365807</v>
      </c>
      <c r="E193" s="307">
        <f t="shared" ca="1" si="67"/>
        <v>-16.611182077526497</v>
      </c>
      <c r="F193" s="304">
        <f t="shared" ca="1" si="68"/>
        <v>16.661041027986212</v>
      </c>
      <c r="G193" s="306">
        <f t="shared" ca="1" si="69"/>
        <v>24.820555942715021</v>
      </c>
      <c r="H193" s="307">
        <f t="shared" ca="1" si="70"/>
        <v>130.96590373003067</v>
      </c>
      <c r="I193" s="304">
        <f t="shared" ca="1" si="71"/>
        <v>133.29714151897298</v>
      </c>
      <c r="J193" s="306">
        <f t="shared" ca="1" si="72"/>
        <v>158.20404457865703</v>
      </c>
      <c r="K193" s="307">
        <f t="shared" ca="1" si="73"/>
        <v>1196.3306629545639</v>
      </c>
      <c r="L193" s="304">
        <f t="shared" ca="1" si="58"/>
        <v>1206.7458617481777</v>
      </c>
      <c r="M193" s="306">
        <f t="shared" ca="1" si="74"/>
        <v>1.3834984495752498</v>
      </c>
      <c r="N193" s="304">
        <f t="shared" ca="1" si="75"/>
        <v>79.268622123554749</v>
      </c>
      <c r="P193" s="310">
        <f t="shared" ca="1" si="76"/>
        <v>13</v>
      </c>
      <c r="Q193" s="304">
        <f t="shared" ca="1" si="77"/>
        <v>0</v>
      </c>
      <c r="R193" s="306">
        <f t="shared" ca="1" si="78"/>
        <v>0</v>
      </c>
      <c r="S193" s="307">
        <f t="shared" ca="1" si="79"/>
        <v>4.0843000000000034</v>
      </c>
      <c r="T193" s="304">
        <f t="shared" ca="1" si="59"/>
        <v>40.066983000000036</v>
      </c>
      <c r="U193" s="311">
        <f t="shared" ca="1" si="60"/>
        <v>0</v>
      </c>
      <c r="V193" s="306">
        <f t="shared" ca="1" si="61"/>
        <v>1.0867208718412151</v>
      </c>
      <c r="W193" s="304">
        <f t="shared" ca="1" si="62"/>
        <v>28.197966630316017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1196.3306629545639</v>
      </c>
      <c r="AG193" s="306">
        <f t="shared" ca="1" si="85"/>
        <v>-16.560748520490503</v>
      </c>
      <c r="AH193" s="304">
        <f t="shared" ca="1" si="86"/>
        <v>-6.9220658603606173</v>
      </c>
    </row>
    <row r="194" spans="1:34" x14ac:dyDescent="0.2">
      <c r="A194" s="347">
        <f t="shared" ca="1" si="64"/>
        <v>0.01</v>
      </c>
      <c r="B194" s="304">
        <f t="shared" ca="1" si="65"/>
        <v>8.4999999999999591</v>
      </c>
      <c r="D194" s="306">
        <f t="shared" ca="1" si="66"/>
        <v>-1.2855554870208021</v>
      </c>
      <c r="E194" s="307">
        <f t="shared" ca="1" si="67"/>
        <v>-16.593245973271397</v>
      </c>
      <c r="F194" s="304">
        <f t="shared" ca="1" si="68"/>
        <v>16.642970433179791</v>
      </c>
      <c r="G194" s="306">
        <f t="shared" ca="1" si="69"/>
        <v>24.807700387844815</v>
      </c>
      <c r="H194" s="307">
        <f t="shared" ca="1" si="70"/>
        <v>130.79997127029796</v>
      </c>
      <c r="I194" s="304">
        <f t="shared" ca="1" si="71"/>
        <v>133.13171854537089</v>
      </c>
      <c r="J194" s="306">
        <f t="shared" ca="1" si="72"/>
        <v>158.45218586030984</v>
      </c>
      <c r="K194" s="307">
        <f t="shared" ca="1" si="73"/>
        <v>1197.6394923295654</v>
      </c>
      <c r="L194" s="304">
        <f t="shared" ca="1" si="58"/>
        <v>1208.075928404887</v>
      </c>
      <c r="M194" s="306">
        <f t="shared" ca="1" si="74"/>
        <v>1.3833612419843424</v>
      </c>
      <c r="N194" s="304">
        <f t="shared" ca="1" si="75"/>
        <v>79.2607607076786</v>
      </c>
      <c r="P194" s="310">
        <f t="shared" ca="1" si="76"/>
        <v>13</v>
      </c>
      <c r="Q194" s="304">
        <f t="shared" ca="1" si="77"/>
        <v>0</v>
      </c>
      <c r="R194" s="306">
        <f t="shared" ca="1" si="78"/>
        <v>0</v>
      </c>
      <c r="S194" s="307">
        <f t="shared" ca="1" si="79"/>
        <v>4.0843000000000034</v>
      </c>
      <c r="T194" s="304">
        <f t="shared" ca="1" si="59"/>
        <v>40.066983000000036</v>
      </c>
      <c r="U194" s="311">
        <f t="shared" ca="1" si="60"/>
        <v>0</v>
      </c>
      <c r="V194" s="306">
        <f t="shared" ca="1" si="61"/>
        <v>1.0865781366944565</v>
      </c>
      <c r="W194" s="304">
        <f t="shared" ca="1" si="62"/>
        <v>28.124327718618641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1197.6394923295654</v>
      </c>
      <c r="AG194" s="306">
        <f t="shared" ca="1" si="85"/>
        <v>-16.542422676583698</v>
      </c>
      <c r="AH194" s="304">
        <f t="shared" ca="1" si="86"/>
        <v>-6.9039900669186869</v>
      </c>
    </row>
    <row r="195" spans="1:34" x14ac:dyDescent="0.2">
      <c r="A195" s="347">
        <f t="shared" ca="1" si="64"/>
        <v>0.01</v>
      </c>
      <c r="B195" s="304">
        <f t="shared" ca="1" si="65"/>
        <v>8.5099999999999589</v>
      </c>
      <c r="D195" s="306">
        <f t="shared" ca="1" si="66"/>
        <v>-1.2831265326420163</v>
      </c>
      <c r="E195" s="307">
        <f t="shared" ca="1" si="67"/>
        <v>-16.575355554195866</v>
      </c>
      <c r="F195" s="304">
        <f t="shared" ca="1" si="68"/>
        <v>16.624945878010603</v>
      </c>
      <c r="G195" s="306">
        <f t="shared" ca="1" si="69"/>
        <v>24.794869122518396</v>
      </c>
      <c r="H195" s="307">
        <f t="shared" ca="1" si="70"/>
        <v>130.63421771475601</v>
      </c>
      <c r="I195" s="304">
        <f t="shared" ca="1" si="71"/>
        <v>132.96647837988749</v>
      </c>
      <c r="J195" s="306">
        <f t="shared" ca="1" si="72"/>
        <v>158.70019870786166</v>
      </c>
      <c r="K195" s="307">
        <f t="shared" ca="1" si="73"/>
        <v>1198.9466632744907</v>
      </c>
      <c r="L195" s="304">
        <f t="shared" ca="1" si="58"/>
        <v>1209.4043386919652</v>
      </c>
      <c r="M195" s="306">
        <f t="shared" ca="1" si="74"/>
        <v>1.3832237644254328</v>
      </c>
      <c r="N195" s="304">
        <f t="shared" ca="1" si="75"/>
        <v>79.252883823775321</v>
      </c>
      <c r="P195" s="310">
        <f t="shared" ca="1" si="76"/>
        <v>13</v>
      </c>
      <c r="Q195" s="304">
        <f t="shared" ca="1" si="77"/>
        <v>0</v>
      </c>
      <c r="R195" s="306">
        <f t="shared" ca="1" si="78"/>
        <v>0</v>
      </c>
      <c r="S195" s="307">
        <f t="shared" ca="1" si="79"/>
        <v>4.0843000000000034</v>
      </c>
      <c r="T195" s="304">
        <f t="shared" ca="1" si="59"/>
        <v>40.066983000000036</v>
      </c>
      <c r="U195" s="311">
        <f t="shared" ca="1" si="60"/>
        <v>0</v>
      </c>
      <c r="V195" s="306">
        <f t="shared" ca="1" si="61"/>
        <v>1.086435600000289</v>
      </c>
      <c r="W195" s="304">
        <f t="shared" ca="1" si="62"/>
        <v>28.050876268325947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1198.9466632744907</v>
      </c>
      <c r="AG195" s="306">
        <f t="shared" ca="1" si="85"/>
        <v>-16.524142202187193</v>
      </c>
      <c r="AH195" s="304">
        <f t="shared" ca="1" si="86"/>
        <v>-6.8859603159950584</v>
      </c>
    </row>
    <row r="196" spans="1:34" x14ac:dyDescent="0.2">
      <c r="A196" s="347">
        <f t="shared" ca="1" si="64"/>
        <v>0.01</v>
      </c>
      <c r="B196" s="304">
        <f t="shared" ca="1" si="65"/>
        <v>8.5199999999999587</v>
      </c>
      <c r="D196" s="306">
        <f t="shared" ca="1" si="66"/>
        <v>-1.2807030735453786</v>
      </c>
      <c r="E196" s="307">
        <f t="shared" ca="1" si="67"/>
        <v>-16.557510676938438</v>
      </c>
      <c r="F196" s="304">
        <f t="shared" ca="1" si="68"/>
        <v>16.606967217993745</v>
      </c>
      <c r="G196" s="306">
        <f t="shared" ca="1" si="69"/>
        <v>24.78206209178294</v>
      </c>
      <c r="H196" s="307">
        <f t="shared" ca="1" si="70"/>
        <v>130.46864260798662</v>
      </c>
      <c r="I196" s="304">
        <f t="shared" ca="1" si="71"/>
        <v>132.80142057030687</v>
      </c>
      <c r="J196" s="306">
        <f t="shared" ca="1" si="72"/>
        <v>158.94808336393316</v>
      </c>
      <c r="K196" s="307">
        <f t="shared" ca="1" si="73"/>
        <v>1200.2521775761045</v>
      </c>
      <c r="L196" s="304">
        <f t="shared" ref="L196:L259" ca="1" si="87">SQRT(pos_x^2+pos_z^2)</f>
        <v>1210.7310944141348</v>
      </c>
      <c r="M196" s="306">
        <f t="shared" ca="1" si="74"/>
        <v>1.3830860162225105</v>
      </c>
      <c r="N196" s="304">
        <f t="shared" ca="1" si="75"/>
        <v>79.244991433112361</v>
      </c>
      <c r="P196" s="310">
        <f t="shared" ca="1" si="76"/>
        <v>13</v>
      </c>
      <c r="Q196" s="304">
        <f t="shared" ca="1" si="77"/>
        <v>0</v>
      </c>
      <c r="R196" s="306">
        <f t="shared" ca="1" si="78"/>
        <v>0</v>
      </c>
      <c r="S196" s="307">
        <f t="shared" ca="1" si="79"/>
        <v>4.0843000000000034</v>
      </c>
      <c r="T196" s="304">
        <f t="shared" ref="T196:T259" ca="1" si="88">m*g</f>
        <v>40.066983000000036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1.086293261493757</v>
      </c>
      <c r="W196" s="304">
        <f t="shared" ref="W196:W259" ca="1" si="91">1/2*Rho*Sref*Cx*vit_xz^2</f>
        <v>27.977611691791768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1200.2521775761045</v>
      </c>
      <c r="AG196" s="306">
        <f t="shared" ca="1" si="85"/>
        <v>-16.505906950536438</v>
      </c>
      <c r="AH196" s="304">
        <f t="shared" ca="1" si="86"/>
        <v>-6.8679764631212015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8.5299999999999585</v>
      </c>
      <c r="D197" s="306">
        <f t="shared" ref="D197:D260" ca="1" si="95">IF(AND(L196&lt;L_rampe,Poussee&lt;Poids*SIN(M196)),0,(-W196+Poussee)/m*COS(M196)-U196/m*SIN(M196))</f>
        <v>-1.2782850917488917</v>
      </c>
      <c r="E197" s="307">
        <f t="shared" ref="E197:E260" ca="1" si="96">IF(AND(L196&lt;L_rampe,Poussee&lt;Poids*SIN(M196)),0,(-W196+Poussee)/m*SIN(M196)+U196/m*COS(M196)-Poids/m)</f>
        <v>-16.539711198722323</v>
      </c>
      <c r="F197" s="304">
        <f t="shared" ref="F197:F260" ca="1" si="97">SQRT(acc_x^2+acc_z^2)</f>
        <v>16.589034309233558</v>
      </c>
      <c r="G197" s="306">
        <f t="shared" ref="G197:G260" ca="1" si="98">G196+acc_x*pas</f>
        <v>24.769279240865451</v>
      </c>
      <c r="H197" s="307">
        <f t="shared" ref="H197:H260" ca="1" si="99">H196+acc_z*pas</f>
        <v>130.30324549599939</v>
      </c>
      <c r="I197" s="304">
        <f t="shared" ref="I197:I260" ca="1" si="100">SQRT(vit_x^2+vit_z^2)</f>
        <v>132.63654466587502</v>
      </c>
      <c r="J197" s="306">
        <f t="shared" ref="J197:J260" ca="1" si="101">J196+0.5*(vit_x+G196)*pas*(K196&gt;=0)</f>
        <v>159.1958400705964</v>
      </c>
      <c r="K197" s="307">
        <f t="shared" ref="K197:K260" ca="1" si="102">K196+0.5*(vit_z+H196)*pas</f>
        <v>1201.5560370166245</v>
      </c>
      <c r="L197" s="304">
        <f t="shared" ca="1" si="87"/>
        <v>1212.0561973715901</v>
      </c>
      <c r="M197" s="306">
        <f t="shared" ref="M197:M260" ca="1" si="103">IF(AND(L196&gt;L_rampe,G197&gt;0),ATAN2(G197,H197),$M$4)</f>
        <v>1.3829479966972134</v>
      </c>
      <c r="N197" s="304">
        <f t="shared" ref="N197:N260" ca="1" si="104">DEGREES(Beta)</f>
        <v>79.237083496822436</v>
      </c>
      <c r="P197" s="310">
        <f t="shared" ref="P197:P260" ca="1" si="105">MATCH(t-pas/2-T_ini,CdP_t)</f>
        <v>13</v>
      </c>
      <c r="Q197" s="304">
        <f t="shared" ref="Q197:Q260" ca="1" si="106">(INDEX(CdP,2,i_P+1)-INDEX(CdP,2,i_P+0))/(INDEX(CdP,1,i_P+1)-INDEX(CdP,1,i_P+0))*(t-pas/2-T_ini-INDEX(CdP,1,i_P+0))+INDEX(CdP,2,i_P+0)</f>
        <v>0</v>
      </c>
      <c r="R197" s="306">
        <f t="shared" ref="R197:R260" ca="1" si="107">Poussee/(g*ISP)</f>
        <v>0</v>
      </c>
      <c r="S197" s="307">
        <f t="shared" ref="S197:S260" ca="1" si="108">S196-Débit*pas</f>
        <v>4.0843000000000034</v>
      </c>
      <c r="T197" s="304">
        <f t="shared" ca="1" si="88"/>
        <v>40.066983000000036</v>
      </c>
      <c r="U197" s="311">
        <f t="shared" ca="1" si="89"/>
        <v>0</v>
      </c>
      <c r="V197" s="306">
        <f t="shared" ca="1" si="90"/>
        <v>1.0861511209106063</v>
      </c>
      <c r="W197" s="304">
        <f t="shared" ca="1" si="91"/>
        <v>27.90453340376488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1201.5560370166245</v>
      </c>
      <c r="AG197" s="306">
        <f t="shared" ref="AG197:AG260" ca="1" si="114">IF(AND(L196&lt;L_rampe,Poussee&lt;Poids*SIN(M196)),0,(-W196+Poussee)/m-Poids*SIN(M196)/m)</f>
        <v>-16.487716775446223</v>
      </c>
      <c r="AH197" s="304">
        <f t="shared" ref="AH197:AH260" ca="1" si="115">IF(AND(L196&lt;L_rampe,Poussee&lt;Poids*SIN(M196)), g*SIN(M196), (-W196+Poussee)/m)</f>
        <v>-6.8500383644178306</v>
      </c>
    </row>
    <row r="198" spans="1:34" x14ac:dyDescent="0.2">
      <c r="A198" s="347">
        <f t="shared" ca="1" si="93"/>
        <v>0.01</v>
      </c>
      <c r="B198" s="304">
        <f t="shared" ca="1" si="94"/>
        <v>8.5399999999999583</v>
      </c>
      <c r="D198" s="306">
        <f t="shared" ca="1" si="95"/>
        <v>-1.2758725693430608</v>
      </c>
      <c r="E198" s="307">
        <f t="shared" ca="1" si="96"/>
        <v>-16.521956977352545</v>
      </c>
      <c r="F198" s="304">
        <f t="shared" ca="1" si="97"/>
        <v>16.571147008420706</v>
      </c>
      <c r="G198" s="306">
        <f t="shared" ca="1" si="98"/>
        <v>24.756520515172021</v>
      </c>
      <c r="H198" s="307">
        <f t="shared" ca="1" si="99"/>
        <v>130.13802592622588</v>
      </c>
      <c r="I198" s="304">
        <f t="shared" ca="1" si="100"/>
        <v>132.47185021729396</v>
      </c>
      <c r="J198" s="306">
        <f t="shared" ca="1" si="101"/>
        <v>159.44346906937659</v>
      </c>
      <c r="K198" s="307">
        <f t="shared" ca="1" si="102"/>
        <v>1202.8582433737356</v>
      </c>
      <c r="L198" s="304">
        <f t="shared" ca="1" si="87"/>
        <v>1213.3796493600123</v>
      </c>
      <c r="M198" s="306">
        <f t="shared" ca="1" si="103"/>
        <v>1.3828097051688195</v>
      </c>
      <c r="N198" s="304">
        <f t="shared" ca="1" si="104"/>
        <v>79.229159975903059</v>
      </c>
      <c r="P198" s="310">
        <f t="shared" ca="1" si="105"/>
        <v>13</v>
      </c>
      <c r="Q198" s="304">
        <f t="shared" ca="1" si="106"/>
        <v>0</v>
      </c>
      <c r="R198" s="306">
        <f t="shared" ca="1" si="107"/>
        <v>0</v>
      </c>
      <c r="S198" s="307">
        <f t="shared" ca="1" si="108"/>
        <v>4.0843000000000034</v>
      </c>
      <c r="T198" s="304">
        <f t="shared" ca="1" si="88"/>
        <v>40.066983000000036</v>
      </c>
      <c r="U198" s="311">
        <f t="shared" ca="1" si="89"/>
        <v>0</v>
      </c>
      <c r="V198" s="306">
        <f t="shared" ca="1" si="90"/>
        <v>1.086009177987282</v>
      </c>
      <c r="W198" s="304">
        <f t="shared" ca="1" si="91"/>
        <v>27.831640821377349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1202.8582433737356</v>
      </c>
      <c r="AG198" s="306">
        <f t="shared" ca="1" si="114"/>
        <v>-16.469571531307778</v>
      </c>
      <c r="AH198" s="304">
        <f t="shared" ca="1" si="115"/>
        <v>-6.8321458765920369</v>
      </c>
    </row>
    <row r="199" spans="1:34" x14ac:dyDescent="0.2">
      <c r="A199" s="347">
        <f t="shared" ca="1" si="93"/>
        <v>0.01</v>
      </c>
      <c r="B199" s="304">
        <f t="shared" ca="1" si="94"/>
        <v>8.5499999999999581</v>
      </c>
      <c r="D199" s="306">
        <f t="shared" ca="1" si="95"/>
        <v>-1.2734654884905312</v>
      </c>
      <c r="E199" s="307">
        <f t="shared" ca="1" si="96"/>
        <v>-16.504247871213131</v>
      </c>
      <c r="F199" s="304">
        <f t="shared" ca="1" si="97"/>
        <v>16.553305172829369</v>
      </c>
      <c r="G199" s="306">
        <f t="shared" ca="1" si="98"/>
        <v>24.743785860287115</v>
      </c>
      <c r="H199" s="307">
        <f t="shared" ca="1" si="99"/>
        <v>129.97298344751374</v>
      </c>
      <c r="I199" s="304">
        <f t="shared" ca="1" si="100"/>
        <v>132.30733677671631</v>
      </c>
      <c r="J199" s="306">
        <f t="shared" ca="1" si="101"/>
        <v>159.69097060125389</v>
      </c>
      <c r="K199" s="307">
        <f t="shared" ca="1" si="102"/>
        <v>1204.1587984206044</v>
      </c>
      <c r="L199" s="304">
        <f t="shared" ca="1" si="87"/>
        <v>1214.7014521705835</v>
      </c>
      <c r="M199" s="306">
        <f t="shared" ca="1" si="103"/>
        <v>1.3826711409542369</v>
      </c>
      <c r="N199" s="304">
        <f t="shared" ca="1" si="104"/>
        <v>79.221220831215931</v>
      </c>
      <c r="P199" s="310">
        <f t="shared" ca="1" si="105"/>
        <v>13</v>
      </c>
      <c r="Q199" s="304">
        <f t="shared" ca="1" si="106"/>
        <v>0</v>
      </c>
      <c r="R199" s="306">
        <f t="shared" ca="1" si="107"/>
        <v>0</v>
      </c>
      <c r="S199" s="307">
        <f t="shared" ca="1" si="108"/>
        <v>4.0843000000000034</v>
      </c>
      <c r="T199" s="304">
        <f t="shared" ca="1" si="88"/>
        <v>40.066983000000036</v>
      </c>
      <c r="U199" s="311">
        <f t="shared" ca="1" si="89"/>
        <v>0</v>
      </c>
      <c r="V199" s="306">
        <f t="shared" ca="1" si="90"/>
        <v>1.085867432460927</v>
      </c>
      <c r="W199" s="304">
        <f t="shared" ca="1" si="91"/>
        <v>27.758933364133057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1204.1587984206044</v>
      </c>
      <c r="AG199" s="306">
        <f t="shared" ca="1" si="114"/>
        <v>-16.451471073085841</v>
      </c>
      <c r="AH199" s="304">
        <f t="shared" ca="1" si="115"/>
        <v>-6.814298856934438</v>
      </c>
    </row>
    <row r="200" spans="1:34" x14ac:dyDescent="0.2">
      <c r="A200" s="347">
        <f t="shared" ca="1" si="93"/>
        <v>0.01</v>
      </c>
      <c r="B200" s="304">
        <f t="shared" ca="1" si="94"/>
        <v>8.5599999999999579</v>
      </c>
      <c r="D200" s="306">
        <f t="shared" ca="1" si="95"/>
        <v>-1.2710638314257425</v>
      </c>
      <c r="E200" s="307">
        <f t="shared" ca="1" si="96"/>
        <v>-16.486583739264319</v>
      </c>
      <c r="F200" s="304">
        <f t="shared" ca="1" si="97"/>
        <v>16.535508660314424</v>
      </c>
      <c r="G200" s="306">
        <f t="shared" ca="1" si="98"/>
        <v>24.731075221972858</v>
      </c>
      <c r="H200" s="307">
        <f t="shared" ca="1" si="99"/>
        <v>129.80811761012109</v>
      </c>
      <c r="I200" s="304">
        <f t="shared" ca="1" si="100"/>
        <v>132.14300389773916</v>
      </c>
      <c r="J200" s="306">
        <f t="shared" ca="1" si="101"/>
        <v>159.93834490666521</v>
      </c>
      <c r="K200" s="307">
        <f t="shared" ca="1" si="102"/>
        <v>1205.4577039258925</v>
      </c>
      <c r="L200" s="304">
        <f t="shared" ca="1" si="87"/>
        <v>1216.02160759</v>
      </c>
      <c r="M200" s="306">
        <f t="shared" ca="1" si="103"/>
        <v>1.382532303367993</v>
      </c>
      <c r="N200" s="304">
        <f t="shared" ca="1" si="104"/>
        <v>79.213266023486369</v>
      </c>
      <c r="P200" s="310">
        <f t="shared" ca="1" si="105"/>
        <v>13</v>
      </c>
      <c r="Q200" s="304">
        <f t="shared" ca="1" si="106"/>
        <v>0</v>
      </c>
      <c r="R200" s="306">
        <f t="shared" ca="1" si="107"/>
        <v>0</v>
      </c>
      <c r="S200" s="307">
        <f t="shared" ca="1" si="108"/>
        <v>4.0843000000000034</v>
      </c>
      <c r="T200" s="304">
        <f t="shared" ca="1" si="88"/>
        <v>40.066983000000036</v>
      </c>
      <c r="U200" s="311">
        <f t="shared" ca="1" si="89"/>
        <v>0</v>
      </c>
      <c r="V200" s="306">
        <f t="shared" ca="1" si="90"/>
        <v>1.0857258840693802</v>
      </c>
      <c r="W200" s="304">
        <f t="shared" ca="1" si="91"/>
        <v>27.686410453896105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1205.4577039258925</v>
      </c>
      <c r="AG200" s="306">
        <f t="shared" ca="1" si="114"/>
        <v>-16.433415256315826</v>
      </c>
      <c r="AH200" s="304">
        <f t="shared" ca="1" si="115"/>
        <v>-6.7964971633163662</v>
      </c>
    </row>
    <row r="201" spans="1:34" x14ac:dyDescent="0.2">
      <c r="A201" s="347">
        <f t="shared" ca="1" si="93"/>
        <v>0.01</v>
      </c>
      <c r="B201" s="304">
        <f t="shared" ca="1" si="94"/>
        <v>8.5699999999999577</v>
      </c>
      <c r="D201" s="306">
        <f t="shared" ca="1" si="95"/>
        <v>-1.2686675804545795</v>
      </c>
      <c r="E201" s="307">
        <f t="shared" ca="1" si="96"/>
        <v>-16.468964441039727</v>
      </c>
      <c r="F201" s="304">
        <f t="shared" ca="1" si="97"/>
        <v>16.517757329308584</v>
      </c>
      <c r="G201" s="306">
        <f t="shared" ca="1" si="98"/>
        <v>24.718388546168313</v>
      </c>
      <c r="H201" s="307">
        <f t="shared" ca="1" si="99"/>
        <v>129.64342796571069</v>
      </c>
      <c r="I201" s="304">
        <f t="shared" ca="1" si="100"/>
        <v>131.97885113539883</v>
      </c>
      <c r="J201" s="306">
        <f t="shared" ca="1" si="101"/>
        <v>160.1855922255059</v>
      </c>
      <c r="K201" s="307">
        <f t="shared" ca="1" si="102"/>
        <v>1206.7549616537717</v>
      </c>
      <c r="L201" s="304">
        <f t="shared" ca="1" si="87"/>
        <v>1217.3401174004873</v>
      </c>
      <c r="M201" s="306">
        <f t="shared" ca="1" si="103"/>
        <v>1.3823931917222243</v>
      </c>
      <c r="N201" s="304">
        <f t="shared" ca="1" si="104"/>
        <v>79.205295513302701</v>
      </c>
      <c r="P201" s="310">
        <f t="shared" ca="1" si="105"/>
        <v>13</v>
      </c>
      <c r="Q201" s="304">
        <f t="shared" ca="1" si="106"/>
        <v>0</v>
      </c>
      <c r="R201" s="306">
        <f t="shared" ca="1" si="107"/>
        <v>0</v>
      </c>
      <c r="S201" s="307">
        <f t="shared" ca="1" si="108"/>
        <v>4.0843000000000034</v>
      </c>
      <c r="T201" s="304">
        <f t="shared" ca="1" si="88"/>
        <v>40.066983000000036</v>
      </c>
      <c r="U201" s="311">
        <f t="shared" ca="1" si="89"/>
        <v>0</v>
      </c>
      <c r="V201" s="306">
        <f t="shared" ca="1" si="90"/>
        <v>1.0855845325511706</v>
      </c>
      <c r="W201" s="304">
        <f t="shared" ca="1" si="91"/>
        <v>27.614071514879399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1206.7549616537717</v>
      </c>
      <c r="AG201" s="306">
        <f t="shared" ca="1" si="114"/>
        <v>-16.415403937100905</v>
      </c>
      <c r="AH201" s="304">
        <f t="shared" ca="1" si="115"/>
        <v>-6.778740654187029</v>
      </c>
    </row>
    <row r="202" spans="1:34" x14ac:dyDescent="0.2">
      <c r="A202" s="347">
        <f t="shared" ca="1" si="93"/>
        <v>0.01</v>
      </c>
      <c r="B202" s="304">
        <f t="shared" ca="1" si="94"/>
        <v>8.5799999999999574</v>
      </c>
      <c r="D202" s="306">
        <f t="shared" ca="1" si="95"/>
        <v>-1.2662767179540286</v>
      </c>
      <c r="E202" s="307">
        <f t="shared" ca="1" si="96"/>
        <v>-16.451389836643592</v>
      </c>
      <c r="F202" s="304">
        <f t="shared" ca="1" si="97"/>
        <v>16.50005103881962</v>
      </c>
      <c r="G202" s="306">
        <f t="shared" ca="1" si="98"/>
        <v>24.705725778988771</v>
      </c>
      <c r="H202" s="307">
        <f t="shared" ca="1" si="99"/>
        <v>129.47891406734425</v>
      </c>
      <c r="I202" s="304">
        <f t="shared" ca="1" si="100"/>
        <v>131.81487804616484</v>
      </c>
      <c r="J202" s="306">
        <f t="shared" ca="1" si="101"/>
        <v>160.43271279713167</v>
      </c>
      <c r="K202" s="307">
        <f t="shared" ca="1" si="102"/>
        <v>1208.050573363937</v>
      </c>
      <c r="L202" s="304">
        <f t="shared" ca="1" si="87"/>
        <v>1218.6569833798121</v>
      </c>
      <c r="M202" s="306">
        <f t="shared" ca="1" si="103"/>
        <v>1.382253805326668</v>
      </c>
      <c r="N202" s="304">
        <f t="shared" ca="1" si="104"/>
        <v>79.197309261115791</v>
      </c>
      <c r="P202" s="310">
        <f t="shared" ca="1" si="105"/>
        <v>13</v>
      </c>
      <c r="Q202" s="304">
        <f t="shared" ca="1" si="106"/>
        <v>0</v>
      </c>
      <c r="R202" s="306">
        <f t="shared" ca="1" si="107"/>
        <v>0</v>
      </c>
      <c r="S202" s="307">
        <f t="shared" ca="1" si="108"/>
        <v>4.0843000000000034</v>
      </c>
      <c r="T202" s="304">
        <f t="shared" ca="1" si="88"/>
        <v>40.066983000000036</v>
      </c>
      <c r="U202" s="311">
        <f t="shared" ca="1" si="89"/>
        <v>0</v>
      </c>
      <c r="V202" s="306">
        <f t="shared" ca="1" si="90"/>
        <v>1.085443377645521</v>
      </c>
      <c r="W202" s="304">
        <f t="shared" ca="1" si="91"/>
        <v>27.541915973633326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1208.050573363937</v>
      </c>
      <c r="AG202" s="306">
        <f t="shared" ca="1" si="114"/>
        <v>-16.397436972109183</v>
      </c>
      <c r="AH202" s="304">
        <f t="shared" ca="1" si="115"/>
        <v>-6.7610291885707161</v>
      </c>
    </row>
    <row r="203" spans="1:34" x14ac:dyDescent="0.2">
      <c r="A203" s="347">
        <f t="shared" ca="1" si="93"/>
        <v>0.01</v>
      </c>
      <c r="B203" s="304">
        <f t="shared" ca="1" si="94"/>
        <v>8.5899999999999572</v>
      </c>
      <c r="D203" s="306">
        <f t="shared" ca="1" si="95"/>
        <v>-1.2638912263718225</v>
      </c>
      <c r="E203" s="307">
        <f t="shared" ca="1" si="96"/>
        <v>-16.433859786748016</v>
      </c>
      <c r="F203" s="304">
        <f t="shared" ca="1" si="97"/>
        <v>16.482389648427596</v>
      </c>
      <c r="G203" s="306">
        <f t="shared" ca="1" si="98"/>
        <v>24.693086866725054</v>
      </c>
      <c r="H203" s="307">
        <f t="shared" ca="1" si="99"/>
        <v>129.31457546947678</v>
      </c>
      <c r="I203" s="304">
        <f t="shared" ca="1" si="100"/>
        <v>131.65108418793457</v>
      </c>
      <c r="J203" s="306">
        <f t="shared" ca="1" si="101"/>
        <v>160.67970686036023</v>
      </c>
      <c r="K203" s="307">
        <f t="shared" ca="1" si="102"/>
        <v>1209.3445408116211</v>
      </c>
      <c r="L203" s="304">
        <f t="shared" ca="1" si="87"/>
        <v>1219.9722073012983</v>
      </c>
      <c r="M203" s="306">
        <f t="shared" ca="1" si="103"/>
        <v>1.3821141434886497</v>
      </c>
      <c r="N203" s="304">
        <f t="shared" ca="1" si="104"/>
        <v>79.189307227238302</v>
      </c>
      <c r="P203" s="310">
        <f t="shared" ca="1" si="105"/>
        <v>13</v>
      </c>
      <c r="Q203" s="304">
        <f t="shared" ca="1" si="106"/>
        <v>0</v>
      </c>
      <c r="R203" s="306">
        <f t="shared" ca="1" si="107"/>
        <v>0</v>
      </c>
      <c r="S203" s="307">
        <f t="shared" ca="1" si="108"/>
        <v>4.0843000000000034</v>
      </c>
      <c r="T203" s="304">
        <f t="shared" ca="1" si="88"/>
        <v>40.066983000000036</v>
      </c>
      <c r="U203" s="311">
        <f t="shared" ca="1" si="89"/>
        <v>0</v>
      </c>
      <c r="V203" s="306">
        <f t="shared" ca="1" si="90"/>
        <v>1.0853024190923399</v>
      </c>
      <c r="W203" s="304">
        <f t="shared" ca="1" si="91"/>
        <v>27.469943259034384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1209.3445408116211</v>
      </c>
      <c r="AG203" s="306">
        <f t="shared" ca="1" si="114"/>
        <v>-16.379514218570876</v>
      </c>
      <c r="AH203" s="304">
        <f t="shared" ca="1" si="115"/>
        <v>-6.7433626260640267</v>
      </c>
    </row>
    <row r="204" spans="1:34" x14ac:dyDescent="0.2">
      <c r="A204" s="347">
        <f t="shared" ca="1" si="93"/>
        <v>0.01</v>
      </c>
      <c r="B204" s="304">
        <f t="shared" ca="1" si="94"/>
        <v>8.599999999999957</v>
      </c>
      <c r="D204" s="306">
        <f t="shared" ca="1" si="95"/>
        <v>-1.2615110882261105</v>
      </c>
      <c r="E204" s="307">
        <f t="shared" ca="1" si="96"/>
        <v>-16.416374152590205</v>
      </c>
      <c r="F204" s="304">
        <f t="shared" ca="1" si="97"/>
        <v>16.464773018282067</v>
      </c>
      <c r="G204" s="306">
        <f t="shared" ca="1" si="98"/>
        <v>24.680471755842792</v>
      </c>
      <c r="H204" s="307">
        <f t="shared" ca="1" si="99"/>
        <v>129.15041172795088</v>
      </c>
      <c r="I204" s="304">
        <f t="shared" ca="1" si="100"/>
        <v>131.4874691200275</v>
      </c>
      <c r="J204" s="306">
        <f t="shared" ca="1" si="101"/>
        <v>160.92657465347307</v>
      </c>
      <c r="K204" s="307">
        <f t="shared" ca="1" si="102"/>
        <v>1210.6368657476082</v>
      </c>
      <c r="L204" s="304">
        <f t="shared" ca="1" si="87"/>
        <v>1221.2857909338388</v>
      </c>
      <c r="M204" s="306">
        <f t="shared" ca="1" si="103"/>
        <v>1.3819742055130748</v>
      </c>
      <c r="N204" s="304">
        <f t="shared" ca="1" si="104"/>
        <v>79.181289371844258</v>
      </c>
      <c r="P204" s="310">
        <f t="shared" ca="1" si="105"/>
        <v>13</v>
      </c>
      <c r="Q204" s="304">
        <f t="shared" ca="1" si="106"/>
        <v>0</v>
      </c>
      <c r="R204" s="306">
        <f t="shared" ca="1" si="107"/>
        <v>0</v>
      </c>
      <c r="S204" s="307">
        <f t="shared" ca="1" si="108"/>
        <v>4.0843000000000034</v>
      </c>
      <c r="T204" s="304">
        <f t="shared" ca="1" si="88"/>
        <v>40.066983000000036</v>
      </c>
      <c r="U204" s="311">
        <f t="shared" ca="1" si="89"/>
        <v>0</v>
      </c>
      <c r="V204" s="306">
        <f t="shared" ca="1" si="90"/>
        <v>1.0851616566322231</v>
      </c>
      <c r="W204" s="304">
        <f t="shared" ca="1" si="91"/>
        <v>27.398152802273984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 t="e">
        <f t="shared" ca="1" si="112"/>
        <v>#N/A</v>
      </c>
      <c r="AD204" s="323" t="e">
        <f t="shared" ca="1" si="113"/>
        <v>#N/A</v>
      </c>
      <c r="AE204" s="324">
        <f t="shared" ca="1" si="92"/>
        <v>1210.6368657476082</v>
      </c>
      <c r="AG204" s="306">
        <f t="shared" ca="1" si="114"/>
        <v>-16.361635534275443</v>
      </c>
      <c r="AH204" s="304">
        <f t="shared" ca="1" si="115"/>
        <v>-6.7257408268330829</v>
      </c>
    </row>
    <row r="205" spans="1:34" x14ac:dyDescent="0.2">
      <c r="A205" s="347">
        <f t="shared" ca="1" si="93"/>
        <v>0.1</v>
      </c>
      <c r="B205" s="304">
        <f t="shared" ca="1" si="94"/>
        <v>8.6999999999999567</v>
      </c>
      <c r="D205" s="306">
        <f t="shared" ca="1" si="95"/>
        <v>-1.2591362861051079</v>
      </c>
      <c r="E205" s="307">
        <f t="shared" ca="1" si="96"/>
        <v>-16.398932795969746</v>
      </c>
      <c r="F205" s="304">
        <f t="shared" ca="1" si="97"/>
        <v>16.447201009099349</v>
      </c>
      <c r="G205" s="306">
        <f t="shared" ca="1" si="98"/>
        <v>24.55455812723228</v>
      </c>
      <c r="H205" s="307">
        <f t="shared" ca="1" si="99"/>
        <v>127.51051844835391</v>
      </c>
      <c r="I205" s="304">
        <f t="shared" ca="1" si="100"/>
        <v>129.85321959732701</v>
      </c>
      <c r="J205" s="306">
        <f t="shared" ca="1" si="101"/>
        <v>163.38832614762683</v>
      </c>
      <c r="K205" s="307">
        <f t="shared" ca="1" si="102"/>
        <v>1223.4699122564234</v>
      </c>
      <c r="L205" s="304">
        <f t="shared" ca="1" si="87"/>
        <v>1234.3315483767169</v>
      </c>
      <c r="M205" s="306">
        <f t="shared" ca="1" si="103"/>
        <v>1.3805561751780562</v>
      </c>
      <c r="N205" s="304">
        <f t="shared" ca="1" si="104"/>
        <v>79.100042218426168</v>
      </c>
      <c r="P205" s="310">
        <f t="shared" ca="1" si="105"/>
        <v>23</v>
      </c>
      <c r="Q205" s="304">
        <f t="shared" ca="1" si="106"/>
        <v>0</v>
      </c>
      <c r="R205" s="306">
        <f t="shared" ca="1" si="107"/>
        <v>0</v>
      </c>
      <c r="S205" s="307">
        <f t="shared" ca="1" si="108"/>
        <v>4.0843000000000034</v>
      </c>
      <c r="T205" s="304">
        <f t="shared" ca="1" si="88"/>
        <v>40.066983000000036</v>
      </c>
      <c r="U205" s="311">
        <f t="shared" ca="1" si="89"/>
        <v>0</v>
      </c>
      <c r="V205" s="306">
        <f t="shared" ca="1" si="90"/>
        <v>1.0837647874065495</v>
      </c>
      <c r="W205" s="304">
        <f t="shared" ca="1" si="91"/>
        <v>26.686928475155714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1223.4699122564234</v>
      </c>
      <c r="AG205" s="306">
        <f t="shared" ca="1" si="114"/>
        <v>-16.343800777568831</v>
      </c>
      <c r="AH205" s="304">
        <f t="shared" ca="1" si="115"/>
        <v>-6.7081636516107928</v>
      </c>
    </row>
    <row r="206" spans="1:34" x14ac:dyDescent="0.2">
      <c r="A206" s="347">
        <f t="shared" ca="1" si="93"/>
        <v>0.1</v>
      </c>
      <c r="B206" s="304">
        <f t="shared" ca="1" si="94"/>
        <v>8.7999999999999563</v>
      </c>
      <c r="D206" s="306">
        <f t="shared" ca="1" si="95"/>
        <v>-1.2355500948850295</v>
      </c>
      <c r="E206" s="307">
        <f t="shared" ca="1" si="96"/>
        <v>-16.226146132679808</v>
      </c>
      <c r="F206" s="304">
        <f t="shared" ca="1" si="97"/>
        <v>16.273119011303589</v>
      </c>
      <c r="G206" s="306">
        <f t="shared" ca="1" si="98"/>
        <v>24.431003117743778</v>
      </c>
      <c r="H206" s="307">
        <f t="shared" ca="1" si="99"/>
        <v>125.88790383508592</v>
      </c>
      <c r="I206" s="304">
        <f t="shared" ca="1" si="100"/>
        <v>128.23664938437469</v>
      </c>
      <c r="J206" s="306">
        <f t="shared" ca="1" si="101"/>
        <v>165.83760420987562</v>
      </c>
      <c r="K206" s="307">
        <f t="shared" ca="1" si="102"/>
        <v>1236.1398333705954</v>
      </c>
      <c r="L206" s="304">
        <f t="shared" ca="1" si="87"/>
        <v>1247.2144156541626</v>
      </c>
      <c r="M206" s="306">
        <f t="shared" ca="1" si="103"/>
        <v>1.3791096153579951</v>
      </c>
      <c r="N206" s="304">
        <f t="shared" ca="1" si="104"/>
        <v>79.017160445923466</v>
      </c>
      <c r="P206" s="310">
        <f t="shared" ca="1" si="105"/>
        <v>23</v>
      </c>
      <c r="Q206" s="304">
        <f t="shared" ca="1" si="106"/>
        <v>0</v>
      </c>
      <c r="R206" s="306">
        <f t="shared" ca="1" si="107"/>
        <v>0</v>
      </c>
      <c r="S206" s="307">
        <f t="shared" ca="1" si="108"/>
        <v>4.0843000000000034</v>
      </c>
      <c r="T206" s="304">
        <f t="shared" ca="1" si="88"/>
        <v>40.066983000000036</v>
      </c>
      <c r="U206" s="311">
        <f t="shared" ca="1" si="89"/>
        <v>0</v>
      </c>
      <c r="V206" s="306">
        <f t="shared" ca="1" si="90"/>
        <v>1.0823873304884306</v>
      </c>
      <c r="W206" s="304">
        <f t="shared" ca="1" si="91"/>
        <v>25.993522434652345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1236.1398333705954</v>
      </c>
      <c r="AG206" s="306">
        <f t="shared" ca="1" si="114"/>
        <v>-16.167043827875418</v>
      </c>
      <c r="AH206" s="304">
        <f t="shared" ca="1" si="115"/>
        <v>-6.53402748944879</v>
      </c>
    </row>
    <row r="207" spans="1:34" x14ac:dyDescent="0.2">
      <c r="A207" s="347">
        <f t="shared" ca="1" si="93"/>
        <v>0.1</v>
      </c>
      <c r="B207" s="304">
        <f t="shared" ca="1" si="94"/>
        <v>8.8999999999999559</v>
      </c>
      <c r="D207" s="306">
        <f t="shared" ca="1" si="95"/>
        <v>-1.2124857363360286</v>
      </c>
      <c r="E207" s="307">
        <f t="shared" ca="1" si="96"/>
        <v>-16.057688113404797</v>
      </c>
      <c r="F207" s="304">
        <f t="shared" ca="1" si="97"/>
        <v>16.103399305991267</v>
      </c>
      <c r="G207" s="306">
        <f t="shared" ca="1" si="98"/>
        <v>24.309754544110174</v>
      </c>
      <c r="H207" s="307">
        <f t="shared" ca="1" si="99"/>
        <v>124.28213502374544</v>
      </c>
      <c r="I207" s="304">
        <f t="shared" ca="1" si="100"/>
        <v>126.63732961514697</v>
      </c>
      <c r="J207" s="306">
        <f t="shared" ca="1" si="101"/>
        <v>168.27464209296832</v>
      </c>
      <c r="K207" s="307">
        <f t="shared" ca="1" si="102"/>
        <v>1248.648335313537</v>
      </c>
      <c r="L207" s="304">
        <f t="shared" ca="1" si="87"/>
        <v>1259.9361176078664</v>
      </c>
      <c r="M207" s="306">
        <f t="shared" ca="1" si="103"/>
        <v>1.3776337845974709</v>
      </c>
      <c r="N207" s="304">
        <f t="shared" ca="1" si="104"/>
        <v>78.932601572069842</v>
      </c>
      <c r="P207" s="310">
        <f t="shared" ca="1" si="105"/>
        <v>23</v>
      </c>
      <c r="Q207" s="304">
        <f t="shared" ca="1" si="106"/>
        <v>0</v>
      </c>
      <c r="R207" s="306">
        <f t="shared" ca="1" si="107"/>
        <v>0</v>
      </c>
      <c r="S207" s="307">
        <f t="shared" ca="1" si="108"/>
        <v>4.0843000000000034</v>
      </c>
      <c r="T207" s="304">
        <f t="shared" ca="1" si="88"/>
        <v>40.066983000000036</v>
      </c>
      <c r="U207" s="311">
        <f t="shared" ca="1" si="89"/>
        <v>0</v>
      </c>
      <c r="V207" s="306">
        <f t="shared" ca="1" si="90"/>
        <v>1.0810290342593678</v>
      </c>
      <c r="W207" s="304">
        <f t="shared" ca="1" si="91"/>
        <v>25.31739151886736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1248.648335313537</v>
      </c>
      <c r="AG207" s="306">
        <f t="shared" ca="1" si="114"/>
        <v>-15.994576820943289</v>
      </c>
      <c r="AH207" s="304">
        <f t="shared" ca="1" si="115"/>
        <v>-6.3642539565292271</v>
      </c>
    </row>
    <row r="208" spans="1:34" x14ac:dyDescent="0.2">
      <c r="A208" s="347">
        <f t="shared" ca="1" si="93"/>
        <v>0.1</v>
      </c>
      <c r="B208" s="304">
        <f t="shared" ca="1" si="94"/>
        <v>8.9999999999999556</v>
      </c>
      <c r="D208" s="306">
        <f t="shared" ca="1" si="95"/>
        <v>-1.1899265455968673</v>
      </c>
      <c r="E208" s="307">
        <f t="shared" ca="1" si="96"/>
        <v>-15.893426771745794</v>
      </c>
      <c r="F208" s="304">
        <f t="shared" ca="1" si="97"/>
        <v>15.937908888331682</v>
      </c>
      <c r="G208" s="306">
        <f t="shared" ca="1" si="98"/>
        <v>24.190761889550487</v>
      </c>
      <c r="H208" s="307">
        <f t="shared" ca="1" si="99"/>
        <v>122.69279234657085</v>
      </c>
      <c r="I208" s="304">
        <f t="shared" ca="1" si="100"/>
        <v>125.05484498649257</v>
      </c>
      <c r="J208" s="306">
        <f t="shared" ca="1" si="101"/>
        <v>170.69966791465134</v>
      </c>
      <c r="K208" s="307">
        <f t="shared" ca="1" si="102"/>
        <v>1260.9970816820528</v>
      </c>
      <c r="L208" s="304">
        <f t="shared" ca="1" si="87"/>
        <v>1272.4983365949151</v>
      </c>
      <c r="M208" s="306">
        <f t="shared" ca="1" si="103"/>
        <v>1.3761279146054379</v>
      </c>
      <c r="N208" s="304">
        <f t="shared" ca="1" si="104"/>
        <v>78.846321577030949</v>
      </c>
      <c r="P208" s="310">
        <f t="shared" ca="1" si="105"/>
        <v>23</v>
      </c>
      <c r="Q208" s="304">
        <f t="shared" ca="1" si="106"/>
        <v>0</v>
      </c>
      <c r="R208" s="306">
        <f t="shared" ca="1" si="107"/>
        <v>0</v>
      </c>
      <c r="S208" s="307">
        <f t="shared" ca="1" si="108"/>
        <v>4.0843000000000034</v>
      </c>
      <c r="T208" s="304">
        <f t="shared" ca="1" si="88"/>
        <v>40.066983000000036</v>
      </c>
      <c r="U208" s="311">
        <f t="shared" ca="1" si="89"/>
        <v>0</v>
      </c>
      <c r="V208" s="306">
        <f t="shared" ca="1" si="90"/>
        <v>1.079689653629518</v>
      </c>
      <c r="W208" s="304">
        <f t="shared" ca="1" si="91"/>
        <v>24.658014033220084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>
        <f t="shared" ca="1" si="112"/>
        <v>8.9999999999999556</v>
      </c>
      <c r="AD208" s="323">
        <f t="shared" ca="1" si="113"/>
        <v>170.69966791465134</v>
      </c>
      <c r="AE208" s="324">
        <f t="shared" ca="1" si="92"/>
        <v>1260.9970816820528</v>
      </c>
      <c r="AG208" s="306">
        <f t="shared" ca="1" si="114"/>
        <v>-15.826264185891223</v>
      </c>
      <c r="AH208" s="304">
        <f t="shared" ca="1" si="115"/>
        <v>-6.1987100650949589</v>
      </c>
    </row>
    <row r="209" spans="1:34" x14ac:dyDescent="0.2">
      <c r="A209" s="347">
        <f t="shared" ca="1" si="93"/>
        <v>0.1</v>
      </c>
      <c r="B209" s="304">
        <f t="shared" ca="1" si="94"/>
        <v>9.0999999999999552</v>
      </c>
      <c r="D209" s="306">
        <f t="shared" ca="1" si="95"/>
        <v>-1.1678565087646859</v>
      </c>
      <c r="E209" s="307">
        <f t="shared" ca="1" si="96"/>
        <v>-15.733235356318058</v>
      </c>
      <c r="F209" s="304">
        <f t="shared" ca="1" si="97"/>
        <v>15.776520009253012</v>
      </c>
      <c r="G209" s="306">
        <f t="shared" ca="1" si="98"/>
        <v>24.073976238674017</v>
      </c>
      <c r="H209" s="307">
        <f t="shared" ca="1" si="99"/>
        <v>121.11946881093905</v>
      </c>
      <c r="I209" s="304">
        <f t="shared" ca="1" si="100"/>
        <v>123.48879324450571</v>
      </c>
      <c r="J209" s="306">
        <f t="shared" ca="1" si="101"/>
        <v>173.11290482106256</v>
      </c>
      <c r="K209" s="307">
        <f t="shared" ca="1" si="102"/>
        <v>1273.1876947399282</v>
      </c>
      <c r="L209" s="304">
        <f t="shared" ca="1" si="87"/>
        <v>1284.9027137697076</v>
      </c>
      <c r="M209" s="306">
        <f t="shared" ca="1" si="103"/>
        <v>1.3745912090682595</v>
      </c>
      <c r="N209" s="304">
        <f t="shared" ca="1" si="104"/>
        <v>78.758274835396236</v>
      </c>
      <c r="P209" s="310">
        <f t="shared" ca="1" si="105"/>
        <v>23</v>
      </c>
      <c r="Q209" s="304">
        <f t="shared" ca="1" si="106"/>
        <v>0</v>
      </c>
      <c r="R209" s="306">
        <f t="shared" ca="1" si="107"/>
        <v>0</v>
      </c>
      <c r="S209" s="307">
        <f t="shared" ca="1" si="108"/>
        <v>4.0843000000000034</v>
      </c>
      <c r="T209" s="304">
        <f t="shared" ca="1" si="88"/>
        <v>40.066983000000036</v>
      </c>
      <c r="U209" s="311">
        <f t="shared" ca="1" si="89"/>
        <v>0</v>
      </c>
      <c r="V209" s="306">
        <f t="shared" ca="1" si="90"/>
        <v>1.0783689498314297</v>
      </c>
      <c r="W209" s="304">
        <f t="shared" ca="1" si="91"/>
        <v>24.014888747174222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1273.1876947399282</v>
      </c>
      <c r="AG209" s="306">
        <f t="shared" ca="1" si="114"/>
        <v>-15.661975491223069</v>
      </c>
      <c r="AH209" s="304">
        <f t="shared" ca="1" si="115"/>
        <v>-6.0372680834463832</v>
      </c>
    </row>
    <row r="210" spans="1:34" x14ac:dyDescent="0.2">
      <c r="A210" s="347">
        <f t="shared" ca="1" si="93"/>
        <v>0.1</v>
      </c>
      <c r="B210" s="304">
        <f t="shared" ca="1" si="94"/>
        <v>9.1999999999999549</v>
      </c>
      <c r="D210" s="306">
        <f t="shared" ca="1" si="95"/>
        <v>-1.1462602324281852</v>
      </c>
      <c r="E210" s="307">
        <f t="shared" ca="1" si="96"/>
        <v>-15.576992086989462</v>
      </c>
      <c r="F210" s="304">
        <f t="shared" ca="1" si="97"/>
        <v>15.619109929780846</v>
      </c>
      <c r="G210" s="306">
        <f t="shared" ca="1" si="98"/>
        <v>23.959350215431201</v>
      </c>
      <c r="H210" s="307">
        <f t="shared" ca="1" si="99"/>
        <v>119.5617696022401</v>
      </c>
      <c r="I210" s="304">
        <f t="shared" ca="1" si="100"/>
        <v>121.93878469611229</v>
      </c>
      <c r="J210" s="306">
        <f t="shared" ca="1" si="101"/>
        <v>175.51457114376782</v>
      </c>
      <c r="K210" s="307">
        <f t="shared" ca="1" si="102"/>
        <v>1285.2217566605873</v>
      </c>
      <c r="L210" s="304">
        <f t="shared" ca="1" si="87"/>
        <v>1297.1508503167652</v>
      </c>
      <c r="M210" s="306">
        <f t="shared" ca="1" si="103"/>
        <v>1.3730228423995039</v>
      </c>
      <c r="N210" s="304">
        <f t="shared" ca="1" si="104"/>
        <v>78.668414044547561</v>
      </c>
      <c r="P210" s="310">
        <f t="shared" ca="1" si="105"/>
        <v>23</v>
      </c>
      <c r="Q210" s="304">
        <f t="shared" ca="1" si="106"/>
        <v>0</v>
      </c>
      <c r="R210" s="306">
        <f t="shared" ca="1" si="107"/>
        <v>0</v>
      </c>
      <c r="S210" s="307">
        <f t="shared" ca="1" si="108"/>
        <v>4.0843000000000034</v>
      </c>
      <c r="T210" s="304">
        <f t="shared" ca="1" si="88"/>
        <v>40.066983000000036</v>
      </c>
      <c r="U210" s="311">
        <f t="shared" ca="1" si="89"/>
        <v>0</v>
      </c>
      <c r="V210" s="306">
        <f t="shared" ca="1" si="90"/>
        <v>1.0770666902221437</v>
      </c>
      <c r="W210" s="304">
        <f t="shared" ca="1" si="91"/>
        <v>23.38753394573266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1285.2217566605873</v>
      </c>
      <c r="AG210" s="306">
        <f t="shared" ca="1" si="114"/>
        <v>-15.501585192892374</v>
      </c>
      <c r="AH210" s="304">
        <f t="shared" ca="1" si="115"/>
        <v>-5.8798052903004683</v>
      </c>
    </row>
    <row r="211" spans="1:34" x14ac:dyDescent="0.2">
      <c r="A211" s="347">
        <f t="shared" ca="1" si="93"/>
        <v>0.1</v>
      </c>
      <c r="B211" s="304">
        <f t="shared" ca="1" si="94"/>
        <v>9.2999999999999545</v>
      </c>
      <c r="D211" s="306">
        <f t="shared" ca="1" si="95"/>
        <v>-1.1251229148690345</v>
      </c>
      <c r="E211" s="307">
        <f t="shared" ca="1" si="96"/>
        <v>-15.424579924422687</v>
      </c>
      <c r="F211" s="304">
        <f t="shared" ca="1" si="97"/>
        <v>15.465560688784185</v>
      </c>
      <c r="G211" s="306">
        <f t="shared" ca="1" si="98"/>
        <v>23.846837923944296</v>
      </c>
      <c r="H211" s="307">
        <f t="shared" ca="1" si="99"/>
        <v>118.01931160979784</v>
      </c>
      <c r="I211" s="304">
        <f t="shared" ca="1" si="100"/>
        <v>120.40444174456951</v>
      </c>
      <c r="J211" s="306">
        <f t="shared" ca="1" si="101"/>
        <v>177.90488055073661</v>
      </c>
      <c r="K211" s="307">
        <f t="shared" ca="1" si="102"/>
        <v>1297.1008107211892</v>
      </c>
      <c r="L211" s="304">
        <f t="shared" ca="1" si="87"/>
        <v>1309.2443086366036</v>
      </c>
      <c r="M211" s="306">
        <f t="shared" ca="1" si="103"/>
        <v>1.3714219584226024</v>
      </c>
      <c r="N211" s="304">
        <f t="shared" ca="1" si="104"/>
        <v>78.576690149180976</v>
      </c>
      <c r="P211" s="310">
        <f t="shared" ca="1" si="105"/>
        <v>23</v>
      </c>
      <c r="Q211" s="304">
        <f t="shared" ca="1" si="106"/>
        <v>0</v>
      </c>
      <c r="R211" s="306">
        <f t="shared" ca="1" si="107"/>
        <v>0</v>
      </c>
      <c r="S211" s="307">
        <f t="shared" ca="1" si="108"/>
        <v>4.0843000000000034</v>
      </c>
      <c r="T211" s="304">
        <f t="shared" ca="1" si="88"/>
        <v>40.066983000000036</v>
      </c>
      <c r="U211" s="311">
        <f t="shared" ca="1" si="89"/>
        <v>0</v>
      </c>
      <c r="V211" s="306">
        <f t="shared" ca="1" si="90"/>
        <v>1.0757826480932502</v>
      </c>
      <c r="W211" s="304">
        <f t="shared" ca="1" si="91"/>
        <v>22.775486532303365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1297.1008107211892</v>
      </c>
      <c r="AG211" s="306">
        <f t="shared" ca="1" si="114"/>
        <v>-15.344972395379092</v>
      </c>
      <c r="AH211" s="304">
        <f t="shared" ca="1" si="115"/>
        <v>-5.7262037425587344</v>
      </c>
    </row>
    <row r="212" spans="1:34" x14ac:dyDescent="0.2">
      <c r="A212" s="347">
        <f t="shared" ca="1" si="93"/>
        <v>0.1</v>
      </c>
      <c r="B212" s="304">
        <f t="shared" ca="1" si="94"/>
        <v>9.3999999999999542</v>
      </c>
      <c r="D212" s="306">
        <f t="shared" ca="1" si="95"/>
        <v>-1.1044303188285924</v>
      </c>
      <c r="E212" s="307">
        <f t="shared" ca="1" si="96"/>
        <v>-15.275886352096322</v>
      </c>
      <c r="F212" s="304">
        <f t="shared" ca="1" si="97"/>
        <v>15.315758883297638</v>
      </c>
      <c r="G212" s="306">
        <f t="shared" ca="1" si="98"/>
        <v>23.736394892061437</v>
      </c>
      <c r="H212" s="307">
        <f t="shared" ca="1" si="99"/>
        <v>116.49172297458821</v>
      </c>
      <c r="I212" s="304">
        <f t="shared" ca="1" si="100"/>
        <v>118.88539844766507</v>
      </c>
      <c r="J212" s="306">
        <f t="shared" ca="1" si="101"/>
        <v>180.28404219153688</v>
      </c>
      <c r="K212" s="307">
        <f t="shared" ca="1" si="102"/>
        <v>1308.8263624504084</v>
      </c>
      <c r="L212" s="304">
        <f t="shared" ca="1" si="87"/>
        <v>1321.1846134867328</v>
      </c>
      <c r="M212" s="306">
        <f t="shared" ca="1" si="103"/>
        <v>1.3697876689822048</v>
      </c>
      <c r="N212" s="304">
        <f t="shared" ca="1" si="104"/>
        <v>78.483052261743396</v>
      </c>
      <c r="P212" s="310">
        <f t="shared" ca="1" si="105"/>
        <v>23</v>
      </c>
      <c r="Q212" s="304">
        <f t="shared" ca="1" si="106"/>
        <v>0</v>
      </c>
      <c r="R212" s="306">
        <f t="shared" ca="1" si="107"/>
        <v>0</v>
      </c>
      <c r="S212" s="307">
        <f t="shared" ca="1" si="108"/>
        <v>4.0843000000000034</v>
      </c>
      <c r="T212" s="304">
        <f t="shared" ca="1" si="88"/>
        <v>40.066983000000036</v>
      </c>
      <c r="U212" s="311">
        <f t="shared" ca="1" si="89"/>
        <v>0</v>
      </c>
      <c r="V212" s="306">
        <f t="shared" ca="1" si="90"/>
        <v>1.0745166024885311</v>
      </c>
      <c r="W212" s="304">
        <f t="shared" ca="1" si="91"/>
        <v>22.178301179777069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1308.8263624504084</v>
      </c>
      <c r="AG212" s="306">
        <f t="shared" ca="1" si="114"/>
        <v>-15.192020624918596</v>
      </c>
      <c r="AH212" s="304">
        <f t="shared" ca="1" si="115"/>
        <v>-5.5763500556529504</v>
      </c>
    </row>
    <row r="213" spans="1:34" x14ac:dyDescent="0.2">
      <c r="A213" s="347">
        <f t="shared" ca="1" si="93"/>
        <v>0.1</v>
      </c>
      <c r="B213" s="304">
        <f t="shared" ca="1" si="94"/>
        <v>9.4999999999999538</v>
      </c>
      <c r="D213" s="306">
        <f t="shared" ca="1" si="95"/>
        <v>-1.0841687457441416</v>
      </c>
      <c r="E213" s="307">
        <f t="shared" ca="1" si="96"/>
        <v>-15.130803170037119</v>
      </c>
      <c r="F213" s="304">
        <f t="shared" ca="1" si="97"/>
        <v>15.169595460646066</v>
      </c>
      <c r="G213" s="306">
        <f t="shared" ca="1" si="98"/>
        <v>23.627978017487024</v>
      </c>
      <c r="H213" s="307">
        <f t="shared" ca="1" si="99"/>
        <v>114.9786426575845</v>
      </c>
      <c r="I213" s="304">
        <f t="shared" ca="1" si="100"/>
        <v>117.38130009748299</v>
      </c>
      <c r="J213" s="306">
        <f t="shared" ca="1" si="101"/>
        <v>182.6522608370143</v>
      </c>
      <c r="K213" s="307">
        <f t="shared" ca="1" si="102"/>
        <v>1320.399880732017</v>
      </c>
      <c r="L213" s="304">
        <f t="shared" ca="1" si="87"/>
        <v>1332.9732530797448</v>
      </c>
      <c r="M213" s="306">
        <f t="shared" ca="1" si="103"/>
        <v>1.3681190524797684</v>
      </c>
      <c r="N213" s="304">
        <f t="shared" ca="1" si="104"/>
        <v>78.387447578527912</v>
      </c>
      <c r="P213" s="310">
        <f t="shared" ca="1" si="105"/>
        <v>23</v>
      </c>
      <c r="Q213" s="304">
        <f t="shared" ca="1" si="106"/>
        <v>0</v>
      </c>
      <c r="R213" s="306">
        <f t="shared" ca="1" si="107"/>
        <v>0</v>
      </c>
      <c r="S213" s="307">
        <f t="shared" ca="1" si="108"/>
        <v>4.0843000000000034</v>
      </c>
      <c r="T213" s="304">
        <f t="shared" ca="1" si="88"/>
        <v>40.066983000000036</v>
      </c>
      <c r="U213" s="311">
        <f t="shared" ca="1" si="89"/>
        <v>0</v>
      </c>
      <c r="V213" s="306">
        <f t="shared" ca="1" si="90"/>
        <v>1.0732683380288284</v>
      </c>
      <c r="W213" s="304">
        <f t="shared" ca="1" si="91"/>
        <v>21.59554952687488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1320.399880732017</v>
      </c>
      <c r="AG213" s="306">
        <f t="shared" ca="1" si="114"/>
        <v>-15.042617614078601</v>
      </c>
      <c r="AH213" s="304">
        <f t="shared" ca="1" si="115"/>
        <v>-5.4301351956949908</v>
      </c>
    </row>
    <row r="214" spans="1:34" x14ac:dyDescent="0.2">
      <c r="A214" s="347">
        <f t="shared" ca="1" si="93"/>
        <v>0.1</v>
      </c>
      <c r="B214" s="304">
        <f t="shared" ca="1" si="94"/>
        <v>9.5999999999999535</v>
      </c>
      <c r="D214" s="306">
        <f t="shared" ca="1" si="95"/>
        <v>-1.0643250113655234</v>
      </c>
      <c r="E214" s="307">
        <f t="shared" ca="1" si="96"/>
        <v>-14.989226299548644</v>
      </c>
      <c r="F214" s="304">
        <f t="shared" ca="1" si="97"/>
        <v>15.026965521651368</v>
      </c>
      <c r="G214" s="306">
        <f t="shared" ca="1" si="98"/>
        <v>23.521545516350471</v>
      </c>
      <c r="H214" s="307">
        <f t="shared" ca="1" si="99"/>
        <v>113.47972002762964</v>
      </c>
      <c r="I214" s="304">
        <f t="shared" ca="1" si="100"/>
        <v>115.89180282067819</v>
      </c>
      <c r="J214" s="306">
        <f t="shared" ca="1" si="101"/>
        <v>185.00973701370617</v>
      </c>
      <c r="K214" s="307">
        <f t="shared" ca="1" si="102"/>
        <v>1331.8227988662777</v>
      </c>
      <c r="L214" s="304">
        <f t="shared" ca="1" si="87"/>
        <v>1344.6116801403616</v>
      </c>
      <c r="M214" s="306">
        <f t="shared" ca="1" si="103"/>
        <v>1.3664151523286034</v>
      </c>
      <c r="N214" s="304">
        <f t="shared" ca="1" si="104"/>
        <v>78.289821291154453</v>
      </c>
      <c r="P214" s="310">
        <f t="shared" ca="1" si="105"/>
        <v>23</v>
      </c>
      <c r="Q214" s="304">
        <f t="shared" ca="1" si="106"/>
        <v>0</v>
      </c>
      <c r="R214" s="306">
        <f t="shared" ca="1" si="107"/>
        <v>0</v>
      </c>
      <c r="S214" s="307">
        <f t="shared" ca="1" si="108"/>
        <v>4.0843000000000034</v>
      </c>
      <c r="T214" s="304">
        <f t="shared" ca="1" si="88"/>
        <v>40.066983000000036</v>
      </c>
      <c r="U214" s="311">
        <f t="shared" ca="1" si="89"/>
        <v>0</v>
      </c>
      <c r="V214" s="306">
        <f t="shared" ca="1" si="90"/>
        <v>1.0720376447438054</v>
      </c>
      <c r="W214" s="304">
        <f t="shared" ca="1" si="91"/>
        <v>21.026819417025177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1331.8227988662777</v>
      </c>
      <c r="AG214" s="306">
        <f t="shared" ca="1" si="114"/>
        <v>-14.896655096930319</v>
      </c>
      <c r="AH214" s="304">
        <f t="shared" ca="1" si="115"/>
        <v>-5.2874542827105895</v>
      </c>
    </row>
    <row r="215" spans="1:34" x14ac:dyDescent="0.2">
      <c r="A215" s="347">
        <f t="shared" ca="1" si="93"/>
        <v>0.1</v>
      </c>
      <c r="B215" s="304">
        <f t="shared" ca="1" si="94"/>
        <v>9.6999999999999531</v>
      </c>
      <c r="D215" s="306">
        <f t="shared" ca="1" si="95"/>
        <v>-1.0448864226691696</v>
      </c>
      <c r="E215" s="307">
        <f t="shared" ca="1" si="96"/>
        <v>-14.85105559827033</v>
      </c>
      <c r="F215" s="304">
        <f t="shared" ca="1" si="97"/>
        <v>14.887768134250173</v>
      </c>
      <c r="G215" s="306">
        <f t="shared" ca="1" si="98"/>
        <v>23.417056874083553</v>
      </c>
      <c r="H215" s="307">
        <f t="shared" ca="1" si="99"/>
        <v>111.99461446780261</v>
      </c>
      <c r="I215" s="304">
        <f t="shared" ca="1" si="100"/>
        <v>114.41657319827318</v>
      </c>
      <c r="J215" s="306">
        <f t="shared" ca="1" si="101"/>
        <v>187.35666713322786</v>
      </c>
      <c r="K215" s="307">
        <f t="shared" ca="1" si="102"/>
        <v>1343.0965155910494</v>
      </c>
      <c r="L215" s="304">
        <f t="shared" ca="1" si="87"/>
        <v>1356.1013129232231</v>
      </c>
      <c r="M215" s="306">
        <f t="shared" ca="1" si="103"/>
        <v>1.3646749753232501</v>
      </c>
      <c r="N215" s="304">
        <f t="shared" ca="1" si="104"/>
        <v>78.190116493142</v>
      </c>
      <c r="P215" s="310">
        <f t="shared" ca="1" si="105"/>
        <v>23</v>
      </c>
      <c r="Q215" s="304">
        <f t="shared" ca="1" si="106"/>
        <v>0</v>
      </c>
      <c r="R215" s="306">
        <f t="shared" ca="1" si="107"/>
        <v>0</v>
      </c>
      <c r="S215" s="307">
        <f t="shared" ca="1" si="108"/>
        <v>4.0843000000000034</v>
      </c>
      <c r="T215" s="304">
        <f t="shared" ca="1" si="88"/>
        <v>40.066983000000036</v>
      </c>
      <c r="U215" s="311">
        <f t="shared" ca="1" si="89"/>
        <v>0</v>
      </c>
      <c r="V215" s="306">
        <f t="shared" ca="1" si="90"/>
        <v>1.0708243179102757</v>
      </c>
      <c r="W215" s="304">
        <f t="shared" ca="1" si="91"/>
        <v>20.471714177214796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1343.0965155910494</v>
      </c>
      <c r="AG215" s="306">
        <f t="shared" ca="1" si="114"/>
        <v>-14.754028614106792</v>
      </c>
      <c r="AH215" s="304">
        <f t="shared" ca="1" si="115"/>
        <v>-5.148206404285963</v>
      </c>
    </row>
    <row r="216" spans="1:34" x14ac:dyDescent="0.2">
      <c r="A216" s="347">
        <f t="shared" ca="1" si="93"/>
        <v>0.1</v>
      </c>
      <c r="B216" s="304">
        <f t="shared" ca="1" si="94"/>
        <v>9.7999999999999527</v>
      </c>
      <c r="D216" s="306">
        <f t="shared" ca="1" si="95"/>
        <v>-1.0258407559922254</v>
      </c>
      <c r="E216" s="307">
        <f t="shared" ca="1" si="96"/>
        <v>-14.716194684946064</v>
      </c>
      <c r="F216" s="304">
        <f t="shared" ca="1" si="97"/>
        <v>14.751906156896792</v>
      </c>
      <c r="G216" s="306">
        <f t="shared" ca="1" si="98"/>
        <v>23.314472798484331</v>
      </c>
      <c r="H216" s="307">
        <f t="shared" ca="1" si="99"/>
        <v>110.522994999308</v>
      </c>
      <c r="I216" s="304">
        <f t="shared" ca="1" si="100"/>
        <v>112.95528790405665</v>
      </c>
      <c r="J216" s="306">
        <f t="shared" ca="1" si="101"/>
        <v>189.69324361685625</v>
      </c>
      <c r="K216" s="307">
        <f t="shared" ca="1" si="102"/>
        <v>1354.2223960644048</v>
      </c>
      <c r="L216" s="304">
        <f t="shared" ca="1" si="87"/>
        <v>1367.4435361931044</v>
      </c>
      <c r="M216" s="306">
        <f t="shared" ca="1" si="103"/>
        <v>1.3628974899177042</v>
      </c>
      <c r="N216" s="304">
        <f t="shared" ca="1" si="104"/>
        <v>78.08827408125812</v>
      </c>
      <c r="P216" s="310">
        <f t="shared" ca="1" si="105"/>
        <v>23</v>
      </c>
      <c r="Q216" s="304">
        <f t="shared" ca="1" si="106"/>
        <v>0</v>
      </c>
      <c r="R216" s="306">
        <f t="shared" ca="1" si="107"/>
        <v>0</v>
      </c>
      <c r="S216" s="307">
        <f t="shared" ca="1" si="108"/>
        <v>4.0843000000000034</v>
      </c>
      <c r="T216" s="304">
        <f t="shared" ca="1" si="88"/>
        <v>40.066983000000036</v>
      </c>
      <c r="U216" s="311">
        <f t="shared" ca="1" si="89"/>
        <v>0</v>
      </c>
      <c r="V216" s="306">
        <f t="shared" ca="1" si="90"/>
        <v>1.0696281578968068</v>
      </c>
      <c r="W216" s="304">
        <f t="shared" ca="1" si="91"/>
        <v>19.929851934431809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1354.2223960644048</v>
      </c>
      <c r="AG216" s="306">
        <f t="shared" ca="1" si="114"/>
        <v>-14.61463732708366</v>
      </c>
      <c r="AH216" s="304">
        <f t="shared" ca="1" si="115"/>
        <v>-5.0122944390017334</v>
      </c>
    </row>
    <row r="217" spans="1:34" x14ac:dyDescent="0.2">
      <c r="A217" s="347">
        <f t="shared" ca="1" si="93"/>
        <v>0.1</v>
      </c>
      <c r="B217" s="304">
        <f t="shared" ca="1" si="94"/>
        <v>9.8999999999999524</v>
      </c>
      <c r="D217" s="306">
        <f t="shared" ca="1" si="95"/>
        <v>-1.0071762363146706</v>
      </c>
      <c r="E217" s="307">
        <f t="shared" ca="1" si="96"/>
        <v>-14.584550773323294</v>
      </c>
      <c r="F217" s="304">
        <f t="shared" ca="1" si="97"/>
        <v>14.619286071167842</v>
      </c>
      <c r="G217" s="306">
        <f t="shared" ca="1" si="98"/>
        <v>23.213755174852864</v>
      </c>
      <c r="H217" s="307">
        <f t="shared" ca="1" si="99"/>
        <v>109.06453992197567</v>
      </c>
      <c r="I217" s="304">
        <f t="shared" ca="1" si="100"/>
        <v>111.50763336072663</v>
      </c>
      <c r="J217" s="306">
        <f t="shared" ca="1" si="101"/>
        <v>192.01965501552311</v>
      </c>
      <c r="K217" s="307">
        <f t="shared" ca="1" si="102"/>
        <v>1365.201772810469</v>
      </c>
      <c r="L217" s="304">
        <f t="shared" ca="1" si="87"/>
        <v>1378.639702169181</v>
      </c>
      <c r="M217" s="306">
        <f t="shared" ca="1" si="103"/>
        <v>1.3610816244065933</v>
      </c>
      <c r="N217" s="304">
        <f t="shared" ca="1" si="104"/>
        <v>77.984232651308091</v>
      </c>
      <c r="P217" s="310">
        <f t="shared" ca="1" si="105"/>
        <v>23</v>
      </c>
      <c r="Q217" s="304">
        <f t="shared" ca="1" si="106"/>
        <v>0</v>
      </c>
      <c r="R217" s="306">
        <f t="shared" ca="1" si="107"/>
        <v>0</v>
      </c>
      <c r="S217" s="307">
        <f t="shared" ca="1" si="108"/>
        <v>4.0843000000000034</v>
      </c>
      <c r="T217" s="304">
        <f t="shared" ca="1" si="88"/>
        <v>40.066983000000036</v>
      </c>
      <c r="U217" s="311">
        <f t="shared" ca="1" si="89"/>
        <v>0</v>
      </c>
      <c r="V217" s="306">
        <f t="shared" ca="1" si="90"/>
        <v>1.0684489700143063</v>
      </c>
      <c r="W217" s="304">
        <f t="shared" ca="1" si="91"/>
        <v>19.40086496747606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1365.201772810469</v>
      </c>
      <c r="AG217" s="306">
        <f t="shared" ca="1" si="114"/>
        <v>-14.47838384105671</v>
      </c>
      <c r="AH217" s="304">
        <f t="shared" ca="1" si="115"/>
        <v>-4.8796248890707812</v>
      </c>
    </row>
    <row r="218" spans="1:34" x14ac:dyDescent="0.2">
      <c r="A218" s="347">
        <f t="shared" ca="1" si="93"/>
        <v>0.1</v>
      </c>
      <c r="B218" s="304">
        <f t="shared" ca="1" si="94"/>
        <v>9.999999999999952</v>
      </c>
      <c r="D218" s="306">
        <f t="shared" ca="1" si="95"/>
        <v>-0.98888151762229348</v>
      </c>
      <c r="E218" s="307">
        <f t="shared" ca="1" si="96"/>
        <v>-14.456034514642205</v>
      </c>
      <c r="F218" s="304">
        <f t="shared" ca="1" si="97"/>
        <v>14.48981782302392</v>
      </c>
      <c r="G218" s="306">
        <f t="shared" ca="1" si="98"/>
        <v>23.114867023090635</v>
      </c>
      <c r="H218" s="307">
        <f t="shared" ca="1" si="99"/>
        <v>107.61893647051144</v>
      </c>
      <c r="I218" s="304">
        <f t="shared" ca="1" si="100"/>
        <v>110.07330541297986</v>
      </c>
      <c r="J218" s="306">
        <f t="shared" ca="1" si="101"/>
        <v>194.33608612542028</v>
      </c>
      <c r="K218" s="307">
        <f t="shared" ca="1" si="102"/>
        <v>1376.0359466300933</v>
      </c>
      <c r="L218" s="304">
        <f t="shared" ca="1" si="87"/>
        <v>1389.6911314348681</v>
      </c>
      <c r="M218" s="306">
        <f t="shared" ca="1" si="103"/>
        <v>1.3592262650029925</v>
      </c>
      <c r="N218" s="304">
        <f t="shared" ca="1" si="104"/>
        <v>77.877928388001862</v>
      </c>
      <c r="P218" s="310">
        <f t="shared" ca="1" si="105"/>
        <v>23</v>
      </c>
      <c r="Q218" s="304">
        <f t="shared" ca="1" si="106"/>
        <v>0</v>
      </c>
      <c r="R218" s="306">
        <f t="shared" ca="1" si="107"/>
        <v>0</v>
      </c>
      <c r="S218" s="307">
        <f t="shared" ca="1" si="108"/>
        <v>4.0843000000000034</v>
      </c>
      <c r="T218" s="304">
        <f t="shared" ca="1" si="88"/>
        <v>40.066983000000036</v>
      </c>
      <c r="U218" s="311">
        <f t="shared" ca="1" si="89"/>
        <v>0</v>
      </c>
      <c r="V218" s="306">
        <f t="shared" ca="1" si="90"/>
        <v>1.0672865643723242</v>
      </c>
      <c r="W218" s="304">
        <f t="shared" ca="1" si="91"/>
        <v>18.884399092061113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>
        <f t="shared" ca="1" si="112"/>
        <v>9.999999999999952</v>
      </c>
      <c r="AD218" s="323">
        <f t="shared" ca="1" si="113"/>
        <v>194.33608612542028</v>
      </c>
      <c r="AE218" s="324">
        <f t="shared" ca="1" si="92"/>
        <v>1376.0359466300933</v>
      </c>
      <c r="AG218" s="306">
        <f t="shared" ca="1" si="114"/>
        <v>-14.345174035825758</v>
      </c>
      <c r="AH218" s="304">
        <f t="shared" ca="1" si="115"/>
        <v>-4.7501077216355423</v>
      </c>
    </row>
    <row r="219" spans="1:34" x14ac:dyDescent="0.2">
      <c r="A219" s="347">
        <f t="shared" ca="1" si="93"/>
        <v>0.1</v>
      </c>
      <c r="B219" s="304">
        <f t="shared" ca="1" si="94"/>
        <v>10.099999999999952</v>
      </c>
      <c r="D219" s="306">
        <f t="shared" ca="1" si="95"/>
        <v>-0.97094566428778017</v>
      </c>
      <c r="E219" s="307">
        <f t="shared" ca="1" si="96"/>
        <v>-14.330559848210354</v>
      </c>
      <c r="F219" s="304">
        <f t="shared" ca="1" si="97"/>
        <v>14.363414672219765</v>
      </c>
      <c r="G219" s="306">
        <f t="shared" ca="1" si="98"/>
        <v>23.017772456661856</v>
      </c>
      <c r="H219" s="307">
        <f t="shared" ca="1" si="99"/>
        <v>106.1858804856904</v>
      </c>
      <c r="I219" s="304">
        <f t="shared" ca="1" si="100"/>
        <v>108.65200901680552</v>
      </c>
      <c r="J219" s="306">
        <f t="shared" ca="1" si="101"/>
        <v>196.64271809940792</v>
      </c>
      <c r="K219" s="307">
        <f t="shared" ca="1" si="102"/>
        <v>1386.7261874779035</v>
      </c>
      <c r="L219" s="304">
        <f t="shared" ca="1" si="87"/>
        <v>1400.5991138147006</v>
      </c>
      <c r="M219" s="306">
        <f t="shared" ca="1" si="103"/>
        <v>1.3573302538060872</v>
      </c>
      <c r="N219" s="304">
        <f t="shared" ca="1" si="104"/>
        <v>77.769294948509639</v>
      </c>
      <c r="P219" s="310">
        <f t="shared" ca="1" si="105"/>
        <v>23</v>
      </c>
      <c r="Q219" s="304">
        <f t="shared" ca="1" si="106"/>
        <v>0</v>
      </c>
      <c r="R219" s="306">
        <f t="shared" ca="1" si="107"/>
        <v>0</v>
      </c>
      <c r="S219" s="307">
        <f t="shared" ca="1" si="108"/>
        <v>4.0843000000000034</v>
      </c>
      <c r="T219" s="304">
        <f t="shared" ca="1" si="88"/>
        <v>40.066983000000036</v>
      </c>
      <c r="U219" s="311">
        <f t="shared" ca="1" si="89"/>
        <v>0</v>
      </c>
      <c r="V219" s="306">
        <f t="shared" ca="1" si="90"/>
        <v>1.0661407557408151</v>
      </c>
      <c r="W219" s="304">
        <f t="shared" ca="1" si="91"/>
        <v>18.38011307726817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1386.7261874779035</v>
      </c>
      <c r="AG219" s="306">
        <f t="shared" ca="1" si="114"/>
        <v>-14.214916904126722</v>
      </c>
      <c r="AH219" s="304">
        <f t="shared" ca="1" si="115"/>
        <v>-4.6236562182163645</v>
      </c>
    </row>
    <row r="220" spans="1:34" x14ac:dyDescent="0.2">
      <c r="A220" s="347">
        <f t="shared" ca="1" si="93"/>
        <v>0.1</v>
      </c>
      <c r="B220" s="304">
        <f t="shared" ca="1" si="94"/>
        <v>10.199999999999951</v>
      </c>
      <c r="D220" s="306">
        <f t="shared" ca="1" si="95"/>
        <v>-0.95335813341148212</v>
      </c>
      <c r="E220" s="307">
        <f t="shared" ca="1" si="96"/>
        <v>-14.208043859591346</v>
      </c>
      <c r="F220" s="304">
        <f t="shared" ca="1" si="97"/>
        <v>14.239993049387811</v>
      </c>
      <c r="G220" s="306">
        <f t="shared" ca="1" si="98"/>
        <v>22.922436643320708</v>
      </c>
      <c r="H220" s="307">
        <f t="shared" ca="1" si="99"/>
        <v>104.76507609973127</v>
      </c>
      <c r="I220" s="304">
        <f t="shared" ca="1" si="100"/>
        <v>107.24345794429391</v>
      </c>
      <c r="J220" s="306">
        <f t="shared" ca="1" si="101"/>
        <v>198.93972855440705</v>
      </c>
      <c r="K220" s="307">
        <f t="shared" ca="1" si="102"/>
        <v>1397.2737353071745</v>
      </c>
      <c r="L220" s="304">
        <f t="shared" ca="1" si="87"/>
        <v>1411.3649092196408</v>
      </c>
      <c r="M220" s="306">
        <f t="shared" ca="1" si="103"/>
        <v>1.3553923866513975</v>
      </c>
      <c r="N220" s="304">
        <f t="shared" ca="1" si="104"/>
        <v>77.658263339288894</v>
      </c>
      <c r="P220" s="310">
        <f t="shared" ca="1" si="105"/>
        <v>23</v>
      </c>
      <c r="Q220" s="304">
        <f t="shared" ca="1" si="106"/>
        <v>0</v>
      </c>
      <c r="R220" s="306">
        <f t="shared" ca="1" si="107"/>
        <v>0</v>
      </c>
      <c r="S220" s="307">
        <f t="shared" ca="1" si="108"/>
        <v>4.0843000000000034</v>
      </c>
      <c r="T220" s="304">
        <f t="shared" ca="1" si="88"/>
        <v>40.066983000000036</v>
      </c>
      <c r="U220" s="311">
        <f t="shared" ca="1" si="89"/>
        <v>0</v>
      </c>
      <c r="V220" s="306">
        <f t="shared" ca="1" si="90"/>
        <v>1.0650113634171148</v>
      </c>
      <c r="W220" s="304">
        <f t="shared" ca="1" si="91"/>
        <v>17.88767809153866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1397.2737353071745</v>
      </c>
      <c r="AG220" s="306">
        <f t="shared" ca="1" si="114"/>
        <v>-14.087524396882889</v>
      </c>
      <c r="AH220" s="304">
        <f t="shared" ca="1" si="115"/>
        <v>-4.5001868318360927</v>
      </c>
    </row>
    <row r="221" spans="1:34" x14ac:dyDescent="0.2">
      <c r="A221" s="347">
        <f t="shared" ca="1" si="93"/>
        <v>0.1</v>
      </c>
      <c r="B221" s="304">
        <f t="shared" ca="1" si="94"/>
        <v>10.299999999999951</v>
      </c>
      <c r="D221" s="306">
        <f t="shared" ca="1" si="95"/>
        <v>-0.93610875806722038</v>
      </c>
      <c r="E221" s="307">
        <f t="shared" ca="1" si="96"/>
        <v>-14.088406645966849</v>
      </c>
      <c r="F221" s="304">
        <f t="shared" ca="1" si="97"/>
        <v>14.119472420351018</v>
      </c>
      <c r="G221" s="306">
        <f t="shared" ca="1" si="98"/>
        <v>22.828825767513987</v>
      </c>
      <c r="H221" s="307">
        <f t="shared" ca="1" si="99"/>
        <v>103.35623543513459</v>
      </c>
      <c r="I221" s="304">
        <f t="shared" ca="1" si="100"/>
        <v>105.84737450332192</v>
      </c>
      <c r="J221" s="306">
        <f t="shared" ca="1" si="101"/>
        <v>201.22729167494879</v>
      </c>
      <c r="K221" s="307">
        <f t="shared" ca="1" si="102"/>
        <v>1407.6798008839178</v>
      </c>
      <c r="L221" s="304">
        <f t="shared" ca="1" si="87"/>
        <v>1421.9897484621404</v>
      </c>
      <c r="M221" s="306">
        <f t="shared" ca="1" si="103"/>
        <v>1.3534114108357262</v>
      </c>
      <c r="N221" s="304">
        <f t="shared" ca="1" si="104"/>
        <v>77.544761785733442</v>
      </c>
      <c r="P221" s="310">
        <f t="shared" ca="1" si="105"/>
        <v>23</v>
      </c>
      <c r="Q221" s="304">
        <f t="shared" ca="1" si="106"/>
        <v>0</v>
      </c>
      <c r="R221" s="306">
        <f t="shared" ca="1" si="107"/>
        <v>0</v>
      </c>
      <c r="S221" s="307">
        <f t="shared" ca="1" si="108"/>
        <v>4.0843000000000034</v>
      </c>
      <c r="T221" s="304">
        <f t="shared" ca="1" si="88"/>
        <v>40.066983000000036</v>
      </c>
      <c r="U221" s="311">
        <f t="shared" ca="1" si="89"/>
        <v>0</v>
      </c>
      <c r="V221" s="306">
        <f t="shared" ca="1" si="90"/>
        <v>1.0638982110979072</v>
      </c>
      <c r="W221" s="304">
        <f t="shared" ca="1" si="91"/>
        <v>17.40677717651042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1407.6798008839178</v>
      </c>
      <c r="AG221" s="306">
        <f t="shared" ca="1" si="114"/>
        <v>-13.962911274872818</v>
      </c>
      <c r="AH221" s="304">
        <f t="shared" ca="1" si="115"/>
        <v>-4.3796190513768938</v>
      </c>
    </row>
    <row r="222" spans="1:34" x14ac:dyDescent="0.2">
      <c r="A222" s="347">
        <f t="shared" ca="1" si="93"/>
        <v>0.1</v>
      </c>
      <c r="B222" s="304">
        <f t="shared" ca="1" si="94"/>
        <v>10.399999999999951</v>
      </c>
      <c r="D222" s="306">
        <f t="shared" ca="1" si="95"/>
        <v>-0.9191877314021677</v>
      </c>
      <c r="E222" s="307">
        <f t="shared" ca="1" si="96"/>
        <v>-13.971571188259828</v>
      </c>
      <c r="F222" s="304">
        <f t="shared" ca="1" si="97"/>
        <v>14.001775157249613</v>
      </c>
      <c r="G222" s="306">
        <f t="shared" ca="1" si="98"/>
        <v>22.736906994373768</v>
      </c>
      <c r="H222" s="307">
        <f t="shared" ca="1" si="99"/>
        <v>101.95907831630861</v>
      </c>
      <c r="I222" s="304">
        <f t="shared" ca="1" si="100"/>
        <v>104.46348927152469</v>
      </c>
      <c r="J222" s="306">
        <f t="shared" ca="1" si="101"/>
        <v>203.50557831304317</v>
      </c>
      <c r="K222" s="307">
        <f t="shared" ca="1" si="102"/>
        <v>1417.94556657149</v>
      </c>
      <c r="L222" s="304">
        <f t="shared" ca="1" si="87"/>
        <v>1432.4748340422145</v>
      </c>
      <c r="M222" s="306">
        <f t="shared" ca="1" si="103"/>
        <v>1.3513860227084078</v>
      </c>
      <c r="N222" s="304">
        <f t="shared" ca="1" si="104"/>
        <v>77.428715594162199</v>
      </c>
      <c r="P222" s="310">
        <f t="shared" ca="1" si="105"/>
        <v>23</v>
      </c>
      <c r="Q222" s="304">
        <f t="shared" ca="1" si="106"/>
        <v>0</v>
      </c>
      <c r="R222" s="306">
        <f t="shared" ca="1" si="107"/>
        <v>0</v>
      </c>
      <c r="S222" s="307">
        <f t="shared" ca="1" si="108"/>
        <v>4.0843000000000034</v>
      </c>
      <c r="T222" s="304">
        <f t="shared" ca="1" si="88"/>
        <v>40.066983000000036</v>
      </c>
      <c r="U222" s="311">
        <f t="shared" ca="1" si="89"/>
        <v>0</v>
      </c>
      <c r="V222" s="306">
        <f t="shared" ca="1" si="90"/>
        <v>1.0628011267559567</v>
      </c>
      <c r="W222" s="304">
        <f t="shared" ca="1" si="91"/>
        <v>16.937104747110872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1417.94556657149</v>
      </c>
      <c r="AG222" s="306">
        <f t="shared" ca="1" si="114"/>
        <v>-13.840994966335835</v>
      </c>
      <c r="AH222" s="304">
        <f t="shared" ca="1" si="115"/>
        <v>-4.2618752727543043</v>
      </c>
    </row>
    <row r="223" spans="1:34" x14ac:dyDescent="0.2">
      <c r="A223" s="347">
        <f t="shared" ca="1" si="93"/>
        <v>0.1</v>
      </c>
      <c r="B223" s="304">
        <f t="shared" ca="1" si="94"/>
        <v>10.49999999999995</v>
      </c>
      <c r="D223" s="306">
        <f t="shared" ca="1" si="95"/>
        <v>-0.90258559154316576</v>
      </c>
      <c r="E223" s="307">
        <f t="shared" ca="1" si="96"/>
        <v>-13.85746322963336</v>
      </c>
      <c r="F223" s="304">
        <f t="shared" ca="1" si="97"/>
        <v>13.886826416093131</v>
      </c>
      <c r="G223" s="306">
        <f t="shared" ca="1" si="98"/>
        <v>22.646648435219451</v>
      </c>
      <c r="H223" s="307">
        <f t="shared" ca="1" si="99"/>
        <v>100.57333199334526</v>
      </c>
      <c r="I223" s="304">
        <f t="shared" ca="1" si="100"/>
        <v>103.09154084400947</v>
      </c>
      <c r="J223" s="306">
        <f t="shared" ca="1" si="101"/>
        <v>205.77475608452283</v>
      </c>
      <c r="K223" s="307">
        <f t="shared" ca="1" si="102"/>
        <v>1428.0721870869727</v>
      </c>
      <c r="L223" s="304">
        <f t="shared" ca="1" si="87"/>
        <v>1442.8213409057319</v>
      </c>
      <c r="M223" s="306">
        <f t="shared" ca="1" si="103"/>
        <v>1.3493148651197895</v>
      </c>
      <c r="N223" s="304">
        <f t="shared" ca="1" si="104"/>
        <v>77.310047005627865</v>
      </c>
      <c r="P223" s="310">
        <f t="shared" ca="1" si="105"/>
        <v>23</v>
      </c>
      <c r="Q223" s="304">
        <f t="shared" ca="1" si="106"/>
        <v>0</v>
      </c>
      <c r="R223" s="306">
        <f t="shared" ca="1" si="107"/>
        <v>0</v>
      </c>
      <c r="S223" s="307">
        <f t="shared" ca="1" si="108"/>
        <v>4.0843000000000034</v>
      </c>
      <c r="T223" s="304">
        <f t="shared" ca="1" si="88"/>
        <v>40.066983000000036</v>
      </c>
      <c r="U223" s="311">
        <f t="shared" ca="1" si="89"/>
        <v>0</v>
      </c>
      <c r="V223" s="306">
        <f t="shared" ca="1" si="90"/>
        <v>1.0617199425214034</v>
      </c>
      <c r="W223" s="304">
        <f t="shared" ca="1" si="91"/>
        <v>16.478366116422489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1428.0721870869727</v>
      </c>
      <c r="AG223" s="306">
        <f t="shared" ca="1" si="114"/>
        <v>-13.721695430057427</v>
      </c>
      <c r="AH223" s="304">
        <f t="shared" ca="1" si="115"/>
        <v>-4.1468806765200545</v>
      </c>
    </row>
    <row r="224" spans="1:34" x14ac:dyDescent="0.2">
      <c r="A224" s="347">
        <f t="shared" ca="1" si="93"/>
        <v>0.1</v>
      </c>
      <c r="B224" s="304">
        <f t="shared" ca="1" si="94"/>
        <v>10.59999999999995</v>
      </c>
      <c r="D224" s="306">
        <f t="shared" ca="1" si="95"/>
        <v>-0.88629320726499816</v>
      </c>
      <c r="E224" s="307">
        <f t="shared" ca="1" si="96"/>
        <v>-13.746011160003938</v>
      </c>
      <c r="F224" s="304">
        <f t="shared" ca="1" si="97"/>
        <v>13.774554020373833</v>
      </c>
      <c r="G224" s="306">
        <f t="shared" ca="1" si="98"/>
        <v>22.55801911449295</v>
      </c>
      <c r="H224" s="307">
        <f t="shared" ca="1" si="99"/>
        <v>99.198730877344872</v>
      </c>
      <c r="I224" s="304">
        <f t="shared" ca="1" si="100"/>
        <v>101.73127559431133</v>
      </c>
      <c r="J224" s="306">
        <f t="shared" ca="1" si="101"/>
        <v>208.03498946200847</v>
      </c>
      <c r="K224" s="307">
        <f t="shared" ca="1" si="102"/>
        <v>1438.0607902305071</v>
      </c>
      <c r="L224" s="304">
        <f t="shared" ca="1" si="87"/>
        <v>1453.0304171760647</v>
      </c>
      <c r="M224" s="306">
        <f t="shared" ca="1" si="103"/>
        <v>1.3471965247171858</v>
      </c>
      <c r="N224" s="304">
        <f t="shared" ca="1" si="104"/>
        <v>77.188675040986638</v>
      </c>
      <c r="P224" s="310">
        <f t="shared" ca="1" si="105"/>
        <v>23</v>
      </c>
      <c r="Q224" s="304">
        <f t="shared" ca="1" si="106"/>
        <v>0</v>
      </c>
      <c r="R224" s="306">
        <f t="shared" ca="1" si="107"/>
        <v>0</v>
      </c>
      <c r="S224" s="307">
        <f t="shared" ca="1" si="108"/>
        <v>4.0843000000000034</v>
      </c>
      <c r="T224" s="304">
        <f t="shared" ca="1" si="88"/>
        <v>40.066983000000036</v>
      </c>
      <c r="U224" s="311">
        <f t="shared" ca="1" si="89"/>
        <v>0</v>
      </c>
      <c r="V224" s="306">
        <f t="shared" ca="1" si="90"/>
        <v>1.0606544945674232</v>
      </c>
      <c r="W224" s="304">
        <f t="shared" ca="1" si="91"/>
        <v>16.030277043929711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1438.0607902305071</v>
      </c>
      <c r="AG224" s="306">
        <f t="shared" ca="1" si="114"/>
        <v>-13.60493502349528</v>
      </c>
      <c r="AH224" s="304">
        <f t="shared" ca="1" si="115"/>
        <v>-4.0345631115301215</v>
      </c>
    </row>
    <row r="225" spans="1:34" x14ac:dyDescent="0.2">
      <c r="A225" s="347">
        <f t="shared" ca="1" si="93"/>
        <v>0.1</v>
      </c>
      <c r="B225" s="304">
        <f t="shared" ca="1" si="94"/>
        <v>10.69999999999995</v>
      </c>
      <c r="D225" s="306">
        <f t="shared" ca="1" si="95"/>
        <v>-0.87030176437904783</v>
      </c>
      <c r="E225" s="307">
        <f t="shared" ca="1" si="96"/>
        <v>-13.637145906231142</v>
      </c>
      <c r="F225" s="304">
        <f t="shared" ca="1" si="97"/>
        <v>13.664888350400748</v>
      </c>
      <c r="G225" s="306">
        <f t="shared" ca="1" si="98"/>
        <v>22.470988938055044</v>
      </c>
      <c r="H225" s="307">
        <f t="shared" ca="1" si="99"/>
        <v>97.835016286721753</v>
      </c>
      <c r="I225" s="304">
        <f t="shared" ca="1" si="100"/>
        <v>100.38244744813359</v>
      </c>
      <c r="J225" s="306">
        <f t="shared" ca="1" si="101"/>
        <v>210.28643986463587</v>
      </c>
      <c r="K225" s="307">
        <f t="shared" ca="1" si="102"/>
        <v>1447.9124775887105</v>
      </c>
      <c r="L225" s="304">
        <f t="shared" ca="1" si="87"/>
        <v>1463.1031848601865</v>
      </c>
      <c r="M225" s="306">
        <f t="shared" ca="1" si="103"/>
        <v>1.345029529077798</v>
      </c>
      <c r="N225" s="304">
        <f t="shared" ca="1" si="104"/>
        <v>77.064515336626471</v>
      </c>
      <c r="P225" s="310">
        <f t="shared" ca="1" si="105"/>
        <v>23</v>
      </c>
      <c r="Q225" s="304">
        <f t="shared" ca="1" si="106"/>
        <v>0</v>
      </c>
      <c r="R225" s="306">
        <f t="shared" ca="1" si="107"/>
        <v>0</v>
      </c>
      <c r="S225" s="307">
        <f t="shared" ca="1" si="108"/>
        <v>4.0843000000000034</v>
      </c>
      <c r="T225" s="304">
        <f t="shared" ca="1" si="88"/>
        <v>40.066983000000036</v>
      </c>
      <c r="U225" s="311">
        <f t="shared" ca="1" si="89"/>
        <v>0</v>
      </c>
      <c r="V225" s="306">
        <f t="shared" ca="1" si="90"/>
        <v>1.0596046230000675</v>
      </c>
      <c r="W225" s="304">
        <f t="shared" ca="1" si="91"/>
        <v>15.592563305844312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1447.9124775887105</v>
      </c>
      <c r="AG225" s="306">
        <f t="shared" ca="1" si="114"/>
        <v>-13.490638375523247</v>
      </c>
      <c r="AH225" s="304">
        <f t="shared" ca="1" si="115"/>
        <v>-3.9248529843375115</v>
      </c>
    </row>
    <row r="226" spans="1:34" x14ac:dyDescent="0.2">
      <c r="A226" s="347">
        <f t="shared" ca="1" si="93"/>
        <v>0.1</v>
      </c>
      <c r="B226" s="304">
        <f t="shared" ca="1" si="94"/>
        <v>10.799999999999949</v>
      </c>
      <c r="D226" s="306">
        <f t="shared" ca="1" si="95"/>
        <v>-0.85460275280346942</v>
      </c>
      <c r="E226" s="307">
        <f t="shared" ca="1" si="96"/>
        <v>-13.53080082766671</v>
      </c>
      <c r="F226" s="304">
        <f t="shared" ca="1" si="97"/>
        <v>13.557762238034911</v>
      </c>
      <c r="G226" s="306">
        <f t="shared" ca="1" si="98"/>
        <v>22.385528662774696</v>
      </c>
      <c r="H226" s="307">
        <f t="shared" ca="1" si="99"/>
        <v>96.481936203955087</v>
      </c>
      <c r="I226" s="304">
        <f t="shared" ca="1" si="100"/>
        <v>99.044817669456933</v>
      </c>
      <c r="J226" s="306">
        <f t="shared" ca="1" si="101"/>
        <v>212.52926574467736</v>
      </c>
      <c r="K226" s="307">
        <f t="shared" ca="1" si="102"/>
        <v>1457.6283252132444</v>
      </c>
      <c r="L226" s="304">
        <f t="shared" ca="1" si="87"/>
        <v>1473.0407405302608</v>
      </c>
      <c r="M226" s="306">
        <f t="shared" ca="1" si="103"/>
        <v>1.3428123436672661</v>
      </c>
      <c r="N226" s="304">
        <f t="shared" ca="1" si="104"/>
        <v>76.937479970205004</v>
      </c>
      <c r="P226" s="310">
        <f t="shared" ca="1" si="105"/>
        <v>23</v>
      </c>
      <c r="Q226" s="304">
        <f t="shared" ca="1" si="106"/>
        <v>0</v>
      </c>
      <c r="R226" s="306">
        <f t="shared" ca="1" si="107"/>
        <v>0</v>
      </c>
      <c r="S226" s="307">
        <f t="shared" ca="1" si="108"/>
        <v>4.0843000000000034</v>
      </c>
      <c r="T226" s="304">
        <f t="shared" ca="1" si="88"/>
        <v>40.066983000000036</v>
      </c>
      <c r="U226" s="311">
        <f t="shared" ca="1" si="89"/>
        <v>0</v>
      </c>
      <c r="V226" s="306">
        <f t="shared" ca="1" si="90"/>
        <v>1.058570171752103</v>
      </c>
      <c r="W226" s="304">
        <f t="shared" ca="1" si="91"/>
        <v>15.164960286287524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1457.6283252132444</v>
      </c>
      <c r="AG226" s="306">
        <f t="shared" ca="1" si="114"/>
        <v>-13.37873226338445</v>
      </c>
      <c r="AH226" s="304">
        <f t="shared" ca="1" si="115"/>
        <v>-3.8176831539907203</v>
      </c>
    </row>
    <row r="227" spans="1:34" x14ac:dyDescent="0.2">
      <c r="A227" s="347">
        <f t="shared" ca="1" si="93"/>
        <v>0.1</v>
      </c>
      <c r="B227" s="304">
        <f t="shared" ca="1" si="94"/>
        <v>10.899999999999949</v>
      </c>
      <c r="D227" s="306">
        <f t="shared" ca="1" si="95"/>
        <v>-0.83918795427859083</v>
      </c>
      <c r="E227" s="307">
        <f t="shared" ca="1" si="96"/>
        <v>-13.426911616765848</v>
      </c>
      <c r="F227" s="304">
        <f t="shared" ca="1" si="97"/>
        <v>13.453110866526298</v>
      </c>
      <c r="G227" s="306">
        <f t="shared" ca="1" si="98"/>
        <v>22.301609867346837</v>
      </c>
      <c r="H227" s="307">
        <f t="shared" ca="1" si="99"/>
        <v>95.139245042278503</v>
      </c>
      <c r="I227" s="304">
        <f t="shared" ca="1" si="100"/>
        <v>97.71815465864087</v>
      </c>
      <c r="J227" s="306">
        <f t="shared" ca="1" si="101"/>
        <v>214.76362267118344</v>
      </c>
      <c r="K227" s="307">
        <f t="shared" ca="1" si="102"/>
        <v>1467.209384275556</v>
      </c>
      <c r="L227" s="304">
        <f t="shared" ca="1" si="87"/>
        <v>1482.8441559817088</v>
      </c>
      <c r="M227" s="306">
        <f t="shared" ca="1" si="103"/>
        <v>1.3405433686116424</v>
      </c>
      <c r="N227" s="304">
        <f t="shared" ca="1" si="104"/>
        <v>76.807477275697309</v>
      </c>
      <c r="P227" s="310">
        <f t="shared" ca="1" si="105"/>
        <v>23</v>
      </c>
      <c r="Q227" s="304">
        <f t="shared" ca="1" si="106"/>
        <v>0</v>
      </c>
      <c r="R227" s="306">
        <f t="shared" ca="1" si="107"/>
        <v>0</v>
      </c>
      <c r="S227" s="307">
        <f t="shared" ca="1" si="108"/>
        <v>4.0843000000000034</v>
      </c>
      <c r="T227" s="304">
        <f t="shared" ca="1" si="88"/>
        <v>40.066983000000036</v>
      </c>
      <c r="U227" s="311">
        <f t="shared" ca="1" si="89"/>
        <v>0</v>
      </c>
      <c r="V227" s="306">
        <f t="shared" ca="1" si="90"/>
        <v>1.0575509884806846</v>
      </c>
      <c r="W227" s="304">
        <f t="shared" ca="1" si="91"/>
        <v>14.747212588183245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1467.209384275556</v>
      </c>
      <c r="AG227" s="306">
        <f t="shared" ca="1" si="114"/>
        <v>-13.269145493456596</v>
      </c>
      <c r="AH227" s="304">
        <f t="shared" ca="1" si="115"/>
        <v>-3.7129888319387683</v>
      </c>
    </row>
    <row r="228" spans="1:34" x14ac:dyDescent="0.2">
      <c r="A228" s="347">
        <f t="shared" ca="1" si="93"/>
        <v>0.1</v>
      </c>
      <c r="B228" s="304">
        <f t="shared" ca="1" si="94"/>
        <v>10.999999999999948</v>
      </c>
      <c r="D228" s="306">
        <f t="shared" ca="1" si="95"/>
        <v>-0.82404943069358882</v>
      </c>
      <c r="E228" s="307">
        <f t="shared" ca="1" si="96"/>
        <v>-13.325416204482032</v>
      </c>
      <c r="F228" s="304">
        <f t="shared" ca="1" si="97"/>
        <v>13.350871675171579</v>
      </c>
      <c r="G228" s="306">
        <f t="shared" ca="1" si="98"/>
        <v>22.219204924277477</v>
      </c>
      <c r="H228" s="307">
        <f t="shared" ca="1" si="99"/>
        <v>93.806703421830306</v>
      </c>
      <c r="I228" s="304">
        <f t="shared" ca="1" si="100"/>
        <v>96.402233762181396</v>
      </c>
      <c r="J228" s="306">
        <f t="shared" ca="1" si="101"/>
        <v>216.98966341076465</v>
      </c>
      <c r="K228" s="307">
        <f t="shared" ca="1" si="102"/>
        <v>1476.6566816987615</v>
      </c>
      <c r="L228" s="304">
        <f t="shared" ca="1" si="87"/>
        <v>1492.5144788687026</v>
      </c>
      <c r="M228" s="306">
        <f t="shared" ca="1" si="103"/>
        <v>1.3382209352696124</v>
      </c>
      <c r="N228" s="304">
        <f t="shared" ca="1" si="104"/>
        <v>76.674411646998522</v>
      </c>
      <c r="P228" s="310">
        <f t="shared" ca="1" si="105"/>
        <v>23</v>
      </c>
      <c r="Q228" s="304">
        <f t="shared" ca="1" si="106"/>
        <v>0</v>
      </c>
      <c r="R228" s="306">
        <f t="shared" ca="1" si="107"/>
        <v>0</v>
      </c>
      <c r="S228" s="307">
        <f t="shared" ca="1" si="108"/>
        <v>4.0843000000000034</v>
      </c>
      <c r="T228" s="304">
        <f t="shared" ca="1" si="88"/>
        <v>40.066983000000036</v>
      </c>
      <c r="U228" s="311">
        <f t="shared" ca="1" si="89"/>
        <v>0</v>
      </c>
      <c r="V228" s="306">
        <f t="shared" ca="1" si="90"/>
        <v>1.0565469244687016</v>
      </c>
      <c r="W228" s="304">
        <f t="shared" ca="1" si="91"/>
        <v>14.339073662787369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>
        <f t="shared" ca="1" si="112"/>
        <v>10.999999999999948</v>
      </c>
      <c r="AD228" s="323">
        <f t="shared" ca="1" si="113"/>
        <v>216.98966341076465</v>
      </c>
      <c r="AE228" s="324">
        <f t="shared" ca="1" si="92"/>
        <v>1476.6566816987615</v>
      </c>
      <c r="AG228" s="306">
        <f t="shared" ca="1" si="114"/>
        <v>-13.161808785442233</v>
      </c>
      <c r="AH228" s="304">
        <f t="shared" ca="1" si="115"/>
        <v>-3.6107074867622928</v>
      </c>
    </row>
    <row r="229" spans="1:34" x14ac:dyDescent="0.2">
      <c r="A229" s="347">
        <f t="shared" ca="1" si="93"/>
        <v>0.1</v>
      </c>
      <c r="B229" s="304">
        <f t="shared" ca="1" si="94"/>
        <v>11.099999999999948</v>
      </c>
      <c r="D229" s="306">
        <f t="shared" ca="1" si="95"/>
        <v>-0.80917951299273849</v>
      </c>
      <c r="E229" s="307">
        <f t="shared" ca="1" si="96"/>
        <v>-13.226254670183669</v>
      </c>
      <c r="F229" s="304">
        <f t="shared" ca="1" si="97"/>
        <v>13.250984268528979</v>
      </c>
      <c r="G229" s="306">
        <f t="shared" ca="1" si="98"/>
        <v>22.138286972978204</v>
      </c>
      <c r="H229" s="307">
        <f t="shared" ca="1" si="99"/>
        <v>92.484077954811937</v>
      </c>
      <c r="I229" s="304">
        <f t="shared" ca="1" si="100"/>
        <v>95.09683709382594</v>
      </c>
      <c r="J229" s="306">
        <f t="shared" ca="1" si="101"/>
        <v>219.20753800562744</v>
      </c>
      <c r="K229" s="307">
        <f t="shared" ca="1" si="102"/>
        <v>1485.9712207675936</v>
      </c>
      <c r="L229" s="304">
        <f t="shared" ca="1" si="87"/>
        <v>1502.0527333179821</v>
      </c>
      <c r="M229" s="306">
        <f t="shared" ca="1" si="103"/>
        <v>1.3358433025907352</v>
      </c>
      <c r="N229" s="304">
        <f t="shared" ca="1" si="104"/>
        <v>76.538183329266474</v>
      </c>
      <c r="P229" s="310">
        <f t="shared" ca="1" si="105"/>
        <v>23</v>
      </c>
      <c r="Q229" s="304">
        <f t="shared" ca="1" si="106"/>
        <v>0</v>
      </c>
      <c r="R229" s="306">
        <f t="shared" ca="1" si="107"/>
        <v>0</v>
      </c>
      <c r="S229" s="307">
        <f t="shared" ca="1" si="108"/>
        <v>4.0843000000000034</v>
      </c>
      <c r="T229" s="304">
        <f t="shared" ca="1" si="88"/>
        <v>40.066983000000036</v>
      </c>
      <c r="U229" s="311">
        <f t="shared" ca="1" si="89"/>
        <v>0</v>
      </c>
      <c r="V229" s="306">
        <f t="shared" ca="1" si="90"/>
        <v>1.0555578345296444</v>
      </c>
      <c r="W229" s="304">
        <f t="shared" ca="1" si="91"/>
        <v>13.940305456843927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1485.9712207675936</v>
      </c>
      <c r="AG229" s="306">
        <f t="shared" ca="1" si="114"/>
        <v>-13.056654659604106</v>
      </c>
      <c r="AH229" s="304">
        <f t="shared" ca="1" si="115"/>
        <v>-3.5107787534675117</v>
      </c>
    </row>
    <row r="230" spans="1:34" x14ac:dyDescent="0.2">
      <c r="A230" s="347">
        <f t="shared" ca="1" si="93"/>
        <v>0.1</v>
      </c>
      <c r="B230" s="304">
        <f t="shared" ca="1" si="94"/>
        <v>11.199999999999948</v>
      </c>
      <c r="D230" s="306">
        <f t="shared" ca="1" si="95"/>
        <v>-0.79457079063162428</v>
      </c>
      <c r="E230" s="307">
        <f t="shared" ca="1" si="96"/>
        <v>-13.129369155846929</v>
      </c>
      <c r="F230" s="304">
        <f t="shared" ca="1" si="97"/>
        <v>13.153390329942683</v>
      </c>
      <c r="G230" s="306">
        <f t="shared" ca="1" si="98"/>
        <v>22.058829893915043</v>
      </c>
      <c r="H230" s="307">
        <f t="shared" ca="1" si="99"/>
        <v>91.171141039227251</v>
      </c>
      <c r="I230" s="304">
        <f t="shared" ca="1" si="100"/>
        <v>93.801753366786002</v>
      </c>
      <c r="J230" s="306">
        <f t="shared" ca="1" si="101"/>
        <v>221.4173938489721</v>
      </c>
      <c r="K230" s="307">
        <f t="shared" ca="1" si="102"/>
        <v>1495.1539817172957</v>
      </c>
      <c r="L230" s="304">
        <f t="shared" ca="1" si="87"/>
        <v>1511.4599205218622</v>
      </c>
      <c r="M230" s="306">
        <f t="shared" ca="1" si="103"/>
        <v>1.3334086532443521</v>
      </c>
      <c r="N230" s="304">
        <f t="shared" ca="1" si="104"/>
        <v>76.398688197124443</v>
      </c>
      <c r="P230" s="310">
        <f t="shared" ca="1" si="105"/>
        <v>23</v>
      </c>
      <c r="Q230" s="304">
        <f t="shared" ca="1" si="106"/>
        <v>0</v>
      </c>
      <c r="R230" s="306">
        <f t="shared" ca="1" si="107"/>
        <v>0</v>
      </c>
      <c r="S230" s="307">
        <f t="shared" ca="1" si="108"/>
        <v>4.0843000000000034</v>
      </c>
      <c r="T230" s="304">
        <f t="shared" ca="1" si="88"/>
        <v>40.066983000000036</v>
      </c>
      <c r="U230" s="311">
        <f t="shared" ca="1" si="89"/>
        <v>0</v>
      </c>
      <c r="V230" s="306">
        <f t="shared" ca="1" si="90"/>
        <v>1.054583576915846</v>
      </c>
      <c r="W230" s="304">
        <f t="shared" ca="1" si="91"/>
        <v>13.550678076420315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1495.1539817172957</v>
      </c>
      <c r="AG230" s="306">
        <f t="shared" ca="1" si="114"/>
        <v>-12.953617326671072</v>
      </c>
      <c r="AH230" s="304">
        <f t="shared" ca="1" si="115"/>
        <v>-3.413144347095932</v>
      </c>
    </row>
    <row r="231" spans="1:34" x14ac:dyDescent="0.2">
      <c r="A231" s="347">
        <f t="shared" ca="1" si="93"/>
        <v>0.1</v>
      </c>
      <c r="B231" s="304">
        <f t="shared" ca="1" si="94"/>
        <v>11.299999999999947</v>
      </c>
      <c r="D231" s="306">
        <f t="shared" ca="1" si="95"/>
        <v>-0.78021610155562271</v>
      </c>
      <c r="E231" s="307">
        <f t="shared" ca="1" si="96"/>
        <v>-13.034703784293924</v>
      </c>
      <c r="F231" s="304">
        <f t="shared" ca="1" si="97"/>
        <v>13.058033539144132</v>
      </c>
      <c r="G231" s="306">
        <f t="shared" ca="1" si="98"/>
        <v>21.98080828375948</v>
      </c>
      <c r="H231" s="307">
        <f t="shared" ca="1" si="99"/>
        <v>89.867670660797856</v>
      </c>
      <c r="I231" s="304">
        <f t="shared" ca="1" si="100"/>
        <v>92.516777736824665</v>
      </c>
      <c r="J231" s="306">
        <f t="shared" ca="1" si="101"/>
        <v>223.61937575785583</v>
      </c>
      <c r="K231" s="307">
        <f t="shared" ca="1" si="102"/>
        <v>1504.2059223022968</v>
      </c>
      <c r="L231" s="304">
        <f t="shared" ca="1" si="87"/>
        <v>1520.7370193112406</v>
      </c>
      <c r="M231" s="306">
        <f t="shared" ca="1" si="103"/>
        <v>1.3309150895025628</v>
      </c>
      <c r="N231" s="304">
        <f t="shared" ca="1" si="104"/>
        <v>76.255817518773057</v>
      </c>
      <c r="P231" s="310">
        <f t="shared" ca="1" si="105"/>
        <v>23</v>
      </c>
      <c r="Q231" s="304">
        <f t="shared" ca="1" si="106"/>
        <v>0</v>
      </c>
      <c r="R231" s="306">
        <f t="shared" ca="1" si="107"/>
        <v>0</v>
      </c>
      <c r="S231" s="307">
        <f t="shared" ca="1" si="108"/>
        <v>4.0843000000000034</v>
      </c>
      <c r="T231" s="304">
        <f t="shared" ca="1" si="88"/>
        <v>40.066983000000036</v>
      </c>
      <c r="U231" s="311">
        <f t="shared" ca="1" si="89"/>
        <v>0</v>
      </c>
      <c r="V231" s="306">
        <f t="shared" ca="1" si="90"/>
        <v>1.0536240132299635</v>
      </c>
      <c r="W231" s="304">
        <f t="shared" ca="1" si="91"/>
        <v>13.169969466531123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1504.2059223022968</v>
      </c>
      <c r="AG231" s="306">
        <f t="shared" ca="1" si="114"/>
        <v>-12.852632580043082</v>
      </c>
      <c r="AH231" s="304">
        <f t="shared" ca="1" si="115"/>
        <v>-3.3177479804177712</v>
      </c>
    </row>
    <row r="232" spans="1:34" x14ac:dyDescent="0.2">
      <c r="A232" s="347">
        <f t="shared" ca="1" si="93"/>
        <v>0.1</v>
      </c>
      <c r="B232" s="304">
        <f t="shared" ca="1" si="94"/>
        <v>11.399999999999947</v>
      </c>
      <c r="D232" s="306">
        <f t="shared" ca="1" si="95"/>
        <v>-0.76610852267485341</v>
      </c>
      <c r="E232" s="307">
        <f t="shared" ca="1" si="96"/>
        <v>-12.942204581259315</v>
      </c>
      <c r="F232" s="304">
        <f t="shared" ca="1" si="97"/>
        <v>12.964859493711632</v>
      </c>
      <c r="G232" s="306">
        <f t="shared" ca="1" si="98"/>
        <v>21.904197431491994</v>
      </c>
      <c r="H232" s="307">
        <f t="shared" ca="1" si="99"/>
        <v>88.573450202671921</v>
      </c>
      <c r="I232" s="304">
        <f t="shared" ca="1" si="100"/>
        <v>91.241711656034724</v>
      </c>
      <c r="J232" s="306">
        <f t="shared" ca="1" si="101"/>
        <v>225.8136260436184</v>
      </c>
      <c r="K232" s="307">
        <f t="shared" ca="1" si="102"/>
        <v>1513.1279783454704</v>
      </c>
      <c r="L232" s="304">
        <f t="shared" ca="1" si="87"/>
        <v>1529.8849867093988</v>
      </c>
      <c r="M232" s="306">
        <f t="shared" ca="1" si="103"/>
        <v>1.3283606288593324</v>
      </c>
      <c r="N232" s="304">
        <f t="shared" ca="1" si="104"/>
        <v>76.109457704983683</v>
      </c>
      <c r="P232" s="310">
        <f t="shared" ca="1" si="105"/>
        <v>23</v>
      </c>
      <c r="Q232" s="304">
        <f t="shared" ca="1" si="106"/>
        <v>0</v>
      </c>
      <c r="R232" s="306">
        <f t="shared" ca="1" si="107"/>
        <v>0</v>
      </c>
      <c r="S232" s="307">
        <f t="shared" ca="1" si="108"/>
        <v>4.0843000000000034</v>
      </c>
      <c r="T232" s="304">
        <f t="shared" ca="1" si="88"/>
        <v>40.066983000000036</v>
      </c>
      <c r="U232" s="311">
        <f t="shared" ca="1" si="89"/>
        <v>0</v>
      </c>
      <c r="V232" s="306">
        <f t="shared" ca="1" si="90"/>
        <v>1.0526790083395621</v>
      </c>
      <c r="W232" s="304">
        <f t="shared" ca="1" si="91"/>
        <v>12.797965105713462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1513.1279783454704</v>
      </c>
      <c r="AG232" s="306">
        <f t="shared" ca="1" si="114"/>
        <v>-12.753637689924677</v>
      </c>
      <c r="AH232" s="304">
        <f t="shared" ca="1" si="115"/>
        <v>-3.2245352854910543</v>
      </c>
    </row>
    <row r="233" spans="1:34" x14ac:dyDescent="0.2">
      <c r="A233" s="347">
        <f t="shared" ca="1" si="93"/>
        <v>0.1</v>
      </c>
      <c r="B233" s="304">
        <f t="shared" ca="1" si="94"/>
        <v>11.499999999999947</v>
      </c>
      <c r="D233" s="306">
        <f t="shared" ca="1" si="95"/>
        <v>-0.75224136081149651</v>
      </c>
      <c r="E233" s="307">
        <f t="shared" ca="1" si="96"/>
        <v>-12.851819401081288</v>
      </c>
      <c r="F233" s="304">
        <f t="shared" ca="1" si="97"/>
        <v>12.873815634182623</v>
      </c>
      <c r="G233" s="306">
        <f t="shared" ca="1" si="98"/>
        <v>21.828973295410844</v>
      </c>
      <c r="H233" s="307">
        <f t="shared" ca="1" si="99"/>
        <v>87.28826826256379</v>
      </c>
      <c r="I233" s="304">
        <f t="shared" ca="1" si="100"/>
        <v>89.976362737160372</v>
      </c>
      <c r="J233" s="306">
        <f t="shared" ca="1" si="101"/>
        <v>228.00028457996353</v>
      </c>
      <c r="K233" s="307">
        <f t="shared" ca="1" si="102"/>
        <v>1521.9210642687322</v>
      </c>
      <c r="L233" s="304">
        <f t="shared" ca="1" si="87"/>
        <v>1538.9047584673376</v>
      </c>
      <c r="M233" s="306">
        <f t="shared" ca="1" si="103"/>
        <v>1.3257431993663213</v>
      </c>
      <c r="N233" s="304">
        <f t="shared" ca="1" si="104"/>
        <v>75.959490041861088</v>
      </c>
      <c r="P233" s="310">
        <f t="shared" ca="1" si="105"/>
        <v>23</v>
      </c>
      <c r="Q233" s="304">
        <f t="shared" ca="1" si="106"/>
        <v>0</v>
      </c>
      <c r="R233" s="306">
        <f t="shared" ca="1" si="107"/>
        <v>0</v>
      </c>
      <c r="S233" s="307">
        <f t="shared" ca="1" si="108"/>
        <v>4.0843000000000034</v>
      </c>
      <c r="T233" s="304">
        <f t="shared" ca="1" si="88"/>
        <v>40.066983000000036</v>
      </c>
      <c r="U233" s="311">
        <f t="shared" ca="1" si="89"/>
        <v>0</v>
      </c>
      <c r="V233" s="306">
        <f t="shared" ca="1" si="90"/>
        <v>1.0517484302946873</v>
      </c>
      <c r="W233" s="304">
        <f t="shared" ca="1" si="91"/>
        <v>12.434457714766614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1521.9210642687322</v>
      </c>
      <c r="AG233" s="306">
        <f t="shared" ca="1" si="114"/>
        <v>-12.656571299014827</v>
      </c>
      <c r="AH233" s="304">
        <f t="shared" ca="1" si="115"/>
        <v>-3.1334537388814367</v>
      </c>
    </row>
    <row r="234" spans="1:34" x14ac:dyDescent="0.2">
      <c r="A234" s="347">
        <f t="shared" ca="1" si="93"/>
        <v>0.1</v>
      </c>
      <c r="B234" s="304">
        <f t="shared" ca="1" si="94"/>
        <v>11.599999999999946</v>
      </c>
      <c r="D234" s="306">
        <f t="shared" ca="1" si="95"/>
        <v>-0.73860814409702813</v>
      </c>
      <c r="E234" s="307">
        <f t="shared" ca="1" si="96"/>
        <v>-12.763497855824941</v>
      </c>
      <c r="F234" s="304">
        <f t="shared" ca="1" si="97"/>
        <v>12.784851172625137</v>
      </c>
      <c r="G234" s="306">
        <f t="shared" ca="1" si="98"/>
        <v>21.755112481001142</v>
      </c>
      <c r="H234" s="307">
        <f t="shared" ca="1" si="99"/>
        <v>86.011918476981293</v>
      </c>
      <c r="I234" s="304">
        <f t="shared" ca="1" si="100"/>
        <v>88.720544628354745</v>
      </c>
      <c r="J234" s="306">
        <f t="shared" ca="1" si="101"/>
        <v>230.17948886878412</v>
      </c>
      <c r="K234" s="307">
        <f t="shared" ca="1" si="102"/>
        <v>1530.5860736057093</v>
      </c>
      <c r="L234" s="304">
        <f t="shared" ca="1" si="87"/>
        <v>1547.7972495813644</v>
      </c>
      <c r="M234" s="306">
        <f t="shared" ca="1" si="103"/>
        <v>1.32306063466444</v>
      </c>
      <c r="N234" s="304">
        <f t="shared" ca="1" si="104"/>
        <v>75.80579040617252</v>
      </c>
      <c r="P234" s="310">
        <f t="shared" ca="1" si="105"/>
        <v>23</v>
      </c>
      <c r="Q234" s="304">
        <f t="shared" ca="1" si="106"/>
        <v>0</v>
      </c>
      <c r="R234" s="306">
        <f t="shared" ca="1" si="107"/>
        <v>0</v>
      </c>
      <c r="S234" s="307">
        <f t="shared" ca="1" si="108"/>
        <v>4.0843000000000034</v>
      </c>
      <c r="T234" s="304">
        <f t="shared" ca="1" si="88"/>
        <v>40.066983000000036</v>
      </c>
      <c r="U234" s="311">
        <f t="shared" ca="1" si="89"/>
        <v>0</v>
      </c>
      <c r="V234" s="306">
        <f t="shared" ca="1" si="90"/>
        <v>1.0508321502482918</v>
      </c>
      <c r="W234" s="304">
        <f t="shared" ca="1" si="91"/>
        <v>12.079246978915496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1530.5860736057093</v>
      </c>
      <c r="AG234" s="306">
        <f t="shared" ca="1" si="114"/>
        <v>-12.561373319377212</v>
      </c>
      <c r="AH234" s="304">
        <f t="shared" ca="1" si="115"/>
        <v>-3.0444525903500241</v>
      </c>
    </row>
    <row r="235" spans="1:34" x14ac:dyDescent="0.2">
      <c r="A235" s="347">
        <f t="shared" ca="1" si="93"/>
        <v>0.1</v>
      </c>
      <c r="B235" s="304">
        <f t="shared" ca="1" si="94"/>
        <v>11.699999999999946</v>
      </c>
      <c r="D235" s="306">
        <f t="shared" ca="1" si="95"/>
        <v>-0.72520261379846229</v>
      </c>
      <c r="E235" s="307">
        <f t="shared" ca="1" si="96"/>
        <v>-12.677191247657326</v>
      </c>
      <c r="F235" s="304">
        <f t="shared" ca="1" si="97"/>
        <v>12.697917024486324</v>
      </c>
      <c r="G235" s="306">
        <f t="shared" ca="1" si="98"/>
        <v>21.682592219621295</v>
      </c>
      <c r="H235" s="307">
        <f t="shared" ca="1" si="99"/>
        <v>84.74419935221556</v>
      </c>
      <c r="I235" s="304">
        <f t="shared" ca="1" si="100"/>
        <v>87.474076898304176</v>
      </c>
      <c r="J235" s="306">
        <f t="shared" ca="1" si="101"/>
        <v>232.35137410381523</v>
      </c>
      <c r="K235" s="307">
        <f t="shared" ca="1" si="102"/>
        <v>1539.1238794971691</v>
      </c>
      <c r="L235" s="304">
        <f t="shared" ca="1" si="87"/>
        <v>1556.5633547936131</v>
      </c>
      <c r="M235" s="306">
        <f t="shared" ca="1" si="103"/>
        <v>1.3203106686883888</v>
      </c>
      <c r="N235" s="304">
        <f t="shared" ca="1" si="104"/>
        <v>75.648228961940205</v>
      </c>
      <c r="P235" s="310">
        <f t="shared" ca="1" si="105"/>
        <v>23</v>
      </c>
      <c r="Q235" s="304">
        <f t="shared" ca="1" si="106"/>
        <v>0</v>
      </c>
      <c r="R235" s="306">
        <f t="shared" ca="1" si="107"/>
        <v>0</v>
      </c>
      <c r="S235" s="307">
        <f t="shared" ca="1" si="108"/>
        <v>4.0843000000000034</v>
      </c>
      <c r="T235" s="304">
        <f t="shared" ca="1" si="88"/>
        <v>40.066983000000036</v>
      </c>
      <c r="U235" s="311">
        <f t="shared" ca="1" si="89"/>
        <v>0</v>
      </c>
      <c r="V235" s="306">
        <f t="shared" ca="1" si="90"/>
        <v>1.0499300423794167</v>
      </c>
      <c r="W235" s="304">
        <f t="shared" ca="1" si="91"/>
        <v>11.732139282700999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1539.1238794971691</v>
      </c>
      <c r="AG235" s="306">
        <f t="shared" ca="1" si="114"/>
        <v>-12.467984830108646</v>
      </c>
      <c r="AH235" s="304">
        <f t="shared" ca="1" si="115"/>
        <v>-2.9574827948278739</v>
      </c>
    </row>
    <row r="236" spans="1:34" x14ac:dyDescent="0.2">
      <c r="A236" s="347">
        <f t="shared" ca="1" si="93"/>
        <v>0.1</v>
      </c>
      <c r="B236" s="304">
        <f t="shared" ca="1" si="94"/>
        <v>11.799999999999946</v>
      </c>
      <c r="D236" s="306">
        <f t="shared" ca="1" si="95"/>
        <v>-0.71201871655417048</v>
      </c>
      <c r="E236" s="307">
        <f t="shared" ca="1" si="96"/>
        <v>-12.592852504303989</v>
      </c>
      <c r="F236" s="304">
        <f t="shared" ca="1" si="97"/>
        <v>12.612965743546548</v>
      </c>
      <c r="G236" s="306">
        <f t="shared" ca="1" si="98"/>
        <v>21.611390347965877</v>
      </c>
      <c r="H236" s="307">
        <f t="shared" ca="1" si="99"/>
        <v>83.484914101785165</v>
      </c>
      <c r="I236" s="304">
        <f t="shared" ca="1" si="100"/>
        <v>86.236784931690266</v>
      </c>
      <c r="J236" s="306">
        <f t="shared" ca="1" si="101"/>
        <v>234.5160732321946</v>
      </c>
      <c r="K236" s="307">
        <f t="shared" ca="1" si="102"/>
        <v>1547.5353351698691</v>
      </c>
      <c r="L236" s="304">
        <f t="shared" ca="1" si="87"/>
        <v>1565.2039490761474</v>
      </c>
      <c r="M236" s="306">
        <f t="shared" ca="1" si="103"/>
        <v>1.3174909300195501</v>
      </c>
      <c r="N236" s="304">
        <f t="shared" ca="1" si="104"/>
        <v>75.486669836885909</v>
      </c>
      <c r="P236" s="310">
        <f t="shared" ca="1" si="105"/>
        <v>23</v>
      </c>
      <c r="Q236" s="304">
        <f t="shared" ca="1" si="106"/>
        <v>0</v>
      </c>
      <c r="R236" s="306">
        <f t="shared" ca="1" si="107"/>
        <v>0</v>
      </c>
      <c r="S236" s="307">
        <f t="shared" ca="1" si="108"/>
        <v>4.0843000000000034</v>
      </c>
      <c r="T236" s="304">
        <f t="shared" ca="1" si="88"/>
        <v>40.066983000000036</v>
      </c>
      <c r="U236" s="311">
        <f t="shared" ca="1" si="89"/>
        <v>0</v>
      </c>
      <c r="V236" s="306">
        <f t="shared" ca="1" si="90"/>
        <v>1.0490419838190146</v>
      </c>
      <c r="W236" s="304">
        <f t="shared" ca="1" si="91"/>
        <v>11.392947456940899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1547.5353351698691</v>
      </c>
      <c r="AG236" s="306">
        <f t="shared" ca="1" si="114"/>
        <v>-12.376347975414355</v>
      </c>
      <c r="AH236" s="304">
        <f t="shared" ca="1" si="115"/>
        <v>-2.8724969475065469</v>
      </c>
    </row>
    <row r="237" spans="1:34" x14ac:dyDescent="0.2">
      <c r="A237" s="347">
        <f t="shared" ca="1" si="93"/>
        <v>0.1</v>
      </c>
      <c r="B237" s="304">
        <f t="shared" ca="1" si="94"/>
        <v>11.899999999999945</v>
      </c>
      <c r="D237" s="306">
        <f t="shared" ca="1" si="95"/>
        <v>-0.69905059700123484</v>
      </c>
      <c r="E237" s="307">
        <f t="shared" ca="1" si="96"/>
        <v>-12.510436117426512</v>
      </c>
      <c r="F237" s="304">
        <f t="shared" ca="1" si="97"/>
        <v>12.529951459817292</v>
      </c>
      <c r="G237" s="306">
        <f t="shared" ca="1" si="98"/>
        <v>21.541485288265754</v>
      </c>
      <c r="H237" s="307">
        <f t="shared" ca="1" si="99"/>
        <v>82.23387049004252</v>
      </c>
      <c r="I237" s="304">
        <f t="shared" ca="1" si="100"/>
        <v>85.008499835002709</v>
      </c>
      <c r="J237" s="306">
        <f t="shared" ca="1" si="101"/>
        <v>236.67371701400617</v>
      </c>
      <c r="K237" s="307">
        <f t="shared" ca="1" si="102"/>
        <v>1555.8212743994604</v>
      </c>
      <c r="L237" s="304">
        <f t="shared" ca="1" si="87"/>
        <v>1573.7198880992728</v>
      </c>
      <c r="M237" s="306">
        <f t="shared" ca="1" si="103"/>
        <v>1.3145989358605363</v>
      </c>
      <c r="N237" s="304">
        <f t="shared" ca="1" si="104"/>
        <v>75.320970777197942</v>
      </c>
      <c r="P237" s="310">
        <f t="shared" ca="1" si="105"/>
        <v>23</v>
      </c>
      <c r="Q237" s="304">
        <f t="shared" ca="1" si="106"/>
        <v>0</v>
      </c>
      <c r="R237" s="306">
        <f t="shared" ca="1" si="107"/>
        <v>0</v>
      </c>
      <c r="S237" s="307">
        <f t="shared" ca="1" si="108"/>
        <v>4.0843000000000034</v>
      </c>
      <c r="T237" s="304">
        <f t="shared" ca="1" si="88"/>
        <v>40.066983000000036</v>
      </c>
      <c r="U237" s="311">
        <f t="shared" ca="1" si="89"/>
        <v>0</v>
      </c>
      <c r="V237" s="306">
        <f t="shared" ca="1" si="90"/>
        <v>1.0481678545783051</v>
      </c>
      <c r="W237" s="304">
        <f t="shared" ca="1" si="91"/>
        <v>11.061490537143223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1555.8212743994604</v>
      </c>
      <c r="AG237" s="306">
        <f t="shared" ca="1" si="114"/>
        <v>-12.286405862686976</v>
      </c>
      <c r="AH237" s="304">
        <f t="shared" ca="1" si="115"/>
        <v>-2.7894492218840168</v>
      </c>
    </row>
    <row r="238" spans="1:34" x14ac:dyDescent="0.2">
      <c r="A238" s="347">
        <f t="shared" ca="1" si="93"/>
        <v>0.1</v>
      </c>
      <c r="B238" s="304">
        <f t="shared" ca="1" si="94"/>
        <v>11.999999999999945</v>
      </c>
      <c r="D238" s="306">
        <f t="shared" ca="1" si="95"/>
        <v>-0.6862925907776275</v>
      </c>
      <c r="E238" s="307">
        <f t="shared" ca="1" si="96"/>
        <v>-12.429898083769819</v>
      </c>
      <c r="F238" s="304">
        <f t="shared" ca="1" si="97"/>
        <v>12.448829820230529</v>
      </c>
      <c r="G238" s="306">
        <f t="shared" ca="1" si="98"/>
        <v>21.472856029187991</v>
      </c>
      <c r="H238" s="307">
        <f t="shared" ca="1" si="99"/>
        <v>80.990880681665544</v>
      </c>
      <c r="I238" s="304">
        <f t="shared" ca="1" si="100"/>
        <v>83.789058352758801</v>
      </c>
      <c r="J238" s="306">
        <f t="shared" ca="1" si="101"/>
        <v>238.82443407987887</v>
      </c>
      <c r="K238" s="307">
        <f t="shared" ca="1" si="102"/>
        <v>1563.9825119580457</v>
      </c>
      <c r="L238" s="304">
        <f t="shared" ca="1" si="87"/>
        <v>1582.1120086846483</v>
      </c>
      <c r="M238" s="306">
        <f t="shared" ca="1" si="103"/>
        <v>1.311632085602439</v>
      </c>
      <c r="N238" s="304">
        <f t="shared" ca="1" si="104"/>
        <v>75.150982778961662</v>
      </c>
      <c r="P238" s="310">
        <f t="shared" ca="1" si="105"/>
        <v>23</v>
      </c>
      <c r="Q238" s="304">
        <f t="shared" ca="1" si="106"/>
        <v>0</v>
      </c>
      <c r="R238" s="306">
        <f t="shared" ca="1" si="107"/>
        <v>0</v>
      </c>
      <c r="S238" s="307">
        <f t="shared" ca="1" si="108"/>
        <v>4.0843000000000034</v>
      </c>
      <c r="T238" s="304">
        <f t="shared" ca="1" si="88"/>
        <v>40.066983000000036</v>
      </c>
      <c r="U238" s="311">
        <f t="shared" ca="1" si="89"/>
        <v>0</v>
      </c>
      <c r="V238" s="306">
        <f t="shared" ca="1" si="90"/>
        <v>1.0473075374795748</v>
      </c>
      <c r="W238" s="304">
        <f t="shared" ca="1" si="91"/>
        <v>10.737593532789711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>
        <f t="shared" ca="1" si="112"/>
        <v>11.999999999999945</v>
      </c>
      <c r="AD238" s="323">
        <f t="shared" ca="1" si="113"/>
        <v>238.82443407987887</v>
      </c>
      <c r="AE238" s="324">
        <f t="shared" ca="1" si="92"/>
        <v>1563.9825119580457</v>
      </c>
      <c r="AG238" s="306">
        <f t="shared" ca="1" si="114"/>
        <v>-12.198102460171523</v>
      </c>
      <c r="AH238" s="304">
        <f t="shared" ca="1" si="115"/>
        <v>-2.7082953106146008</v>
      </c>
    </row>
    <row r="239" spans="1:34" x14ac:dyDescent="0.2">
      <c r="A239" s="347">
        <f t="shared" ca="1" si="93"/>
        <v>0.1</v>
      </c>
      <c r="B239" s="304">
        <f t="shared" ca="1" si="94"/>
        <v>12.099999999999945</v>
      </c>
      <c r="D239" s="306">
        <f t="shared" ca="1" si="95"/>
        <v>-0.67373921788379354</v>
      </c>
      <c r="E239" s="307">
        <f t="shared" ca="1" si="96"/>
        <v>-12.351195848936564</v>
      </c>
      <c r="F239" s="304">
        <f t="shared" ca="1" si="97"/>
        <v>12.369557931975681</v>
      </c>
      <c r="G239" s="306">
        <f t="shared" ca="1" si="98"/>
        <v>21.40548210739961</v>
      </c>
      <c r="H239" s="307">
        <f t="shared" ca="1" si="99"/>
        <v>79.755761096771892</v>
      </c>
      <c r="I239" s="304">
        <f t="shared" ca="1" si="100"/>
        <v>82.57830279423014</v>
      </c>
      <c r="J239" s="306">
        <f t="shared" ca="1" si="101"/>
        <v>240.96835098670826</v>
      </c>
      <c r="K239" s="307">
        <f t="shared" ca="1" si="102"/>
        <v>1572.0198440469676</v>
      </c>
      <c r="L239" s="304">
        <f t="shared" ca="1" si="87"/>
        <v>1590.3811292437751</v>
      </c>
      <c r="M239" s="306">
        <f t="shared" ca="1" si="103"/>
        <v>1.308587653953375</v>
      </c>
      <c r="N239" s="304">
        <f t="shared" ca="1" si="104"/>
        <v>74.976549694454235</v>
      </c>
      <c r="P239" s="310">
        <f t="shared" ca="1" si="105"/>
        <v>23</v>
      </c>
      <c r="Q239" s="304">
        <f t="shared" ca="1" si="106"/>
        <v>0</v>
      </c>
      <c r="R239" s="306">
        <f t="shared" ca="1" si="107"/>
        <v>0</v>
      </c>
      <c r="S239" s="307">
        <f t="shared" ca="1" si="108"/>
        <v>4.0843000000000034</v>
      </c>
      <c r="T239" s="304">
        <f t="shared" ca="1" si="88"/>
        <v>40.066983000000036</v>
      </c>
      <c r="U239" s="311">
        <f t="shared" ca="1" si="89"/>
        <v>0</v>
      </c>
      <c r="V239" s="306">
        <f t="shared" ca="1" si="90"/>
        <v>1.0464609180893221</v>
      </c>
      <c r="W239" s="304">
        <f t="shared" ca="1" si="91"/>
        <v>10.421087206940172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1572.0198440469676</v>
      </c>
      <c r="AG239" s="306">
        <f t="shared" ca="1" si="114"/>
        <v>-12.111382493780317</v>
      </c>
      <c r="AH239" s="304">
        <f t="shared" ca="1" si="115"/>
        <v>-2.6289923690203225</v>
      </c>
    </row>
    <row r="240" spans="1:34" x14ac:dyDescent="0.2">
      <c r="A240" s="347">
        <f t="shared" ca="1" si="93"/>
        <v>0.1</v>
      </c>
      <c r="B240" s="304">
        <f t="shared" ca="1" si="94"/>
        <v>12.199999999999944</v>
      </c>
      <c r="D240" s="306">
        <f t="shared" ca="1" si="95"/>
        <v>-0.66138517638941796</v>
      </c>
      <c r="E240" s="307">
        <f t="shared" ca="1" si="96"/>
        <v>-12.274288253653769</v>
      </c>
      <c r="F240" s="304">
        <f t="shared" ca="1" si="97"/>
        <v>12.292094308348377</v>
      </c>
      <c r="G240" s="306">
        <f t="shared" ca="1" si="98"/>
        <v>21.33934358976067</v>
      </c>
      <c r="H240" s="307">
        <f t="shared" ca="1" si="99"/>
        <v>78.528332271406512</v>
      </c>
      <c r="I240" s="304">
        <f t="shared" ca="1" si="100"/>
        <v>81.376080970825114</v>
      </c>
      <c r="J240" s="306">
        <f t="shared" ca="1" si="101"/>
        <v>243.10559227156628</v>
      </c>
      <c r="K240" s="307">
        <f t="shared" ca="1" si="102"/>
        <v>1579.9340487153765</v>
      </c>
      <c r="L240" s="304">
        <f t="shared" ca="1" si="87"/>
        <v>1598.528050202395</v>
      </c>
      <c r="M240" s="306">
        <f t="shared" ca="1" si="103"/>
        <v>1.3054627835942312</v>
      </c>
      <c r="N240" s="304">
        <f t="shared" ca="1" si="104"/>
        <v>74.797507811349774</v>
      </c>
      <c r="P240" s="310">
        <f t="shared" ca="1" si="105"/>
        <v>23</v>
      </c>
      <c r="Q240" s="304">
        <f t="shared" ca="1" si="106"/>
        <v>0</v>
      </c>
      <c r="R240" s="306">
        <f t="shared" ca="1" si="107"/>
        <v>0</v>
      </c>
      <c r="S240" s="307">
        <f t="shared" ca="1" si="108"/>
        <v>4.0843000000000034</v>
      </c>
      <c r="T240" s="304">
        <f t="shared" ca="1" si="88"/>
        <v>40.066983000000036</v>
      </c>
      <c r="U240" s="311">
        <f t="shared" ca="1" si="89"/>
        <v>0</v>
      </c>
      <c r="V240" s="306">
        <f t="shared" ca="1" si="90"/>
        <v>1.0456278846536562</v>
      </c>
      <c r="W240" s="304">
        <f t="shared" ca="1" si="91"/>
        <v>10.111807865640008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1579.9340487153765</v>
      </c>
      <c r="AG240" s="306">
        <f t="shared" ca="1" si="114"/>
        <v>-12.026191342600663</v>
      </c>
      <c r="AH240" s="304">
        <f t="shared" ca="1" si="115"/>
        <v>-2.551498961129242</v>
      </c>
    </row>
    <row r="241" spans="1:34" x14ac:dyDescent="0.2">
      <c r="A241" s="347">
        <f t="shared" ca="1" si="93"/>
        <v>0.1</v>
      </c>
      <c r="B241" s="304">
        <f t="shared" ca="1" si="94"/>
        <v>12.299999999999944</v>
      </c>
      <c r="D241" s="306">
        <f t="shared" ca="1" si="95"/>
        <v>-0.64922533647237424</v>
      </c>
      <c r="E241" s="307">
        <f t="shared" ca="1" si="96"/>
        <v>-12.199135482404504</v>
      </c>
      <c r="F241" s="304">
        <f t="shared" ca="1" si="97"/>
        <v>12.21639881698278</v>
      </c>
      <c r="G241" s="306">
        <f t="shared" ca="1" si="98"/>
        <v>21.274421056113432</v>
      </c>
      <c r="H241" s="307">
        <f t="shared" ca="1" si="99"/>
        <v>77.308418723166056</v>
      </c>
      <c r="I241" s="304">
        <f t="shared" ca="1" si="100"/>
        <v>80.182246144325333</v>
      </c>
      <c r="J241" s="306">
        <f t="shared" ca="1" si="101"/>
        <v>245.23628050385997</v>
      </c>
      <c r="K241" s="307">
        <f t="shared" ca="1" si="102"/>
        <v>1587.7258862651051</v>
      </c>
      <c r="L241" s="304">
        <f t="shared" ca="1" si="87"/>
        <v>1606.5535544113309</v>
      </c>
      <c r="M241" s="306">
        <f t="shared" ca="1" si="103"/>
        <v>1.3022544773245959</v>
      </c>
      <c r="N241" s="304">
        <f t="shared" ca="1" si="104"/>
        <v>74.61368540271431</v>
      </c>
      <c r="P241" s="310">
        <f t="shared" ca="1" si="105"/>
        <v>23</v>
      </c>
      <c r="Q241" s="304">
        <f t="shared" ca="1" si="106"/>
        <v>0</v>
      </c>
      <c r="R241" s="306">
        <f t="shared" ca="1" si="107"/>
        <v>0</v>
      </c>
      <c r="S241" s="307">
        <f t="shared" ca="1" si="108"/>
        <v>4.0843000000000034</v>
      </c>
      <c r="T241" s="304">
        <f t="shared" ca="1" si="88"/>
        <v>40.066983000000036</v>
      </c>
      <c r="U241" s="311">
        <f t="shared" ca="1" si="89"/>
        <v>0</v>
      </c>
      <c r="V241" s="306">
        <f t="shared" ca="1" si="90"/>
        <v>1.0448083280358667</v>
      </c>
      <c r="W241" s="304">
        <f t="shared" ca="1" si="91"/>
        <v>9.8095971566424005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1587.7258862651051</v>
      </c>
      <c r="AG241" s="306">
        <f t="shared" ca="1" si="114"/>
        <v>-11.942474932612546</v>
      </c>
      <c r="AH241" s="304">
        <f t="shared" ca="1" si="115"/>
        <v>-2.4757750081139975</v>
      </c>
    </row>
    <row r="242" spans="1:34" x14ac:dyDescent="0.2">
      <c r="A242" s="347">
        <f t="shared" ca="1" si="93"/>
        <v>0.1</v>
      </c>
      <c r="B242" s="304">
        <f t="shared" ca="1" si="94"/>
        <v>12.399999999999944</v>
      </c>
      <c r="D242" s="306">
        <f t="shared" ca="1" si="95"/>
        <v>-0.63725473477795946</v>
      </c>
      <c r="E242" s="307">
        <f t="shared" ca="1" si="96"/>
        <v>-12.125699014304212</v>
      </c>
      <c r="F242" s="304">
        <f t="shared" ca="1" si="97"/>
        <v>12.142432630346155</v>
      </c>
      <c r="G242" s="306">
        <f t="shared" ca="1" si="98"/>
        <v>21.210695582635637</v>
      </c>
      <c r="H242" s="307">
        <f t="shared" ca="1" si="99"/>
        <v>76.095848821735629</v>
      </c>
      <c r="I242" s="304">
        <f t="shared" ca="1" si="100"/>
        <v>78.996656986227478</v>
      </c>
      <c r="J242" s="306">
        <f t="shared" ca="1" si="101"/>
        <v>247.36053633579743</v>
      </c>
      <c r="K242" s="307">
        <f t="shared" ca="1" si="102"/>
        <v>1595.3960996423502</v>
      </c>
      <c r="L242" s="304">
        <f t="shared" ca="1" si="87"/>
        <v>1614.4584075442629</v>
      </c>
      <c r="M242" s="306">
        <f t="shared" ca="1" si="103"/>
        <v>1.2989595896586505</v>
      </c>
      <c r="N242" s="304">
        <f t="shared" ca="1" si="104"/>
        <v>74.424902245485924</v>
      </c>
      <c r="P242" s="310">
        <f t="shared" ca="1" si="105"/>
        <v>23</v>
      </c>
      <c r="Q242" s="304">
        <f t="shared" ca="1" si="106"/>
        <v>0</v>
      </c>
      <c r="R242" s="306">
        <f t="shared" ca="1" si="107"/>
        <v>0</v>
      </c>
      <c r="S242" s="307">
        <f t="shared" ca="1" si="108"/>
        <v>4.0843000000000034</v>
      </c>
      <c r="T242" s="304">
        <f t="shared" ca="1" si="88"/>
        <v>40.066983000000036</v>
      </c>
      <c r="U242" s="311">
        <f t="shared" ca="1" si="89"/>
        <v>0</v>
      </c>
      <c r="V242" s="306">
        <f t="shared" ca="1" si="90"/>
        <v>1.0440021416560872</v>
      </c>
      <c r="W242" s="304">
        <f t="shared" ca="1" si="91"/>
        <v>9.5143018769842413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1595.3960996423502</v>
      </c>
      <c r="AG242" s="306">
        <f t="shared" ca="1" si="114"/>
        <v>-11.860179628104405</v>
      </c>
      <c r="AH242" s="304">
        <f t="shared" ca="1" si="115"/>
        <v>-2.4017817390109424</v>
      </c>
    </row>
    <row r="243" spans="1:34" x14ac:dyDescent="0.2">
      <c r="A243" s="347">
        <f t="shared" ca="1" si="93"/>
        <v>0.1</v>
      </c>
      <c r="B243" s="304">
        <f t="shared" ca="1" si="94"/>
        <v>12.499999999999943</v>
      </c>
      <c r="D243" s="306">
        <f t="shared" ca="1" si="95"/>
        <v>-0.62546856908768822</v>
      </c>
      <c r="E243" s="307">
        <f t="shared" ca="1" si="96"/>
        <v>-12.053941576107889</v>
      </c>
      <c r="F243" s="304">
        <f t="shared" ca="1" si="97"/>
        <v>12.07015817838105</v>
      </c>
      <c r="G243" s="306">
        <f t="shared" ca="1" si="98"/>
        <v>21.14814872572687</v>
      </c>
      <c r="H243" s="307">
        <f t="shared" ca="1" si="99"/>
        <v>74.890454664124846</v>
      </c>
      <c r="I243" s="304">
        <f t="shared" ca="1" si="100"/>
        <v>77.819177548498942</v>
      </c>
      <c r="J243" s="306">
        <f t="shared" ca="1" si="101"/>
        <v>249.47847855121557</v>
      </c>
      <c r="K243" s="307">
        <f t="shared" ca="1" si="102"/>
        <v>1602.9454148166433</v>
      </c>
      <c r="L243" s="304">
        <f t="shared" ca="1" si="87"/>
        <v>1622.2433584829157</v>
      </c>
      <c r="M243" s="306">
        <f t="shared" ca="1" si="103"/>
        <v>1.2955748178273219</v>
      </c>
      <c r="N243" s="304">
        <f t="shared" ca="1" si="104"/>
        <v>74.230969104936037</v>
      </c>
      <c r="P243" s="310">
        <f t="shared" ca="1" si="105"/>
        <v>23</v>
      </c>
      <c r="Q243" s="304">
        <f t="shared" ca="1" si="106"/>
        <v>0</v>
      </c>
      <c r="R243" s="306">
        <f t="shared" ca="1" si="107"/>
        <v>0</v>
      </c>
      <c r="S243" s="307">
        <f t="shared" ca="1" si="108"/>
        <v>4.0843000000000034</v>
      </c>
      <c r="T243" s="304">
        <f t="shared" ca="1" si="88"/>
        <v>40.066983000000036</v>
      </c>
      <c r="U243" s="311">
        <f t="shared" ca="1" si="89"/>
        <v>0</v>
      </c>
      <c r="V243" s="306">
        <f t="shared" ca="1" si="90"/>
        <v>1.0432092214329602</v>
      </c>
      <c r="W243" s="304">
        <f t="shared" ca="1" si="91"/>
        <v>9.2257737889803622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1602.9454148166433</v>
      </c>
      <c r="AG243" s="306">
        <f t="shared" ca="1" si="114"/>
        <v>-11.77925212024093</v>
      </c>
      <c r="AH243" s="304">
        <f t="shared" ca="1" si="115"/>
        <v>-2.32948164360704</v>
      </c>
    </row>
    <row r="244" spans="1:34" x14ac:dyDescent="0.2">
      <c r="A244" s="347">
        <f t="shared" ca="1" si="93"/>
        <v>0.1</v>
      </c>
      <c r="B244" s="304">
        <f t="shared" ca="1" si="94"/>
        <v>12.599999999999943</v>
      </c>
      <c r="D244" s="306">
        <f t="shared" ca="1" si="95"/>
        <v>-0.61386219328795166</v>
      </c>
      <c r="E244" s="307">
        <f t="shared" ca="1" si="96"/>
        <v>-11.983827097240233</v>
      </c>
      <c r="F244" s="304">
        <f t="shared" ca="1" si="97"/>
        <v>11.99953910318632</v>
      </c>
      <c r="G244" s="306">
        <f t="shared" ca="1" si="98"/>
        <v>21.086762506398074</v>
      </c>
      <c r="H244" s="307">
        <f t="shared" ca="1" si="99"/>
        <v>73.692071954400816</v>
      </c>
      <c r="I244" s="304">
        <f t="shared" ca="1" si="100"/>
        <v>76.649677246116454</v>
      </c>
      <c r="J244" s="306">
        <f t="shared" ca="1" si="101"/>
        <v>251.59022411282183</v>
      </c>
      <c r="K244" s="307">
        <f t="shared" ca="1" si="102"/>
        <v>1610.3745411475695</v>
      </c>
      <c r="L244" s="304">
        <f t="shared" ca="1" si="87"/>
        <v>1629.9091396901194</v>
      </c>
      <c r="M244" s="306">
        <f t="shared" ca="1" si="103"/>
        <v>1.2920966921391683</v>
      </c>
      <c r="N244" s="304">
        <f t="shared" ca="1" si="104"/>
        <v>74.031687182388794</v>
      </c>
      <c r="P244" s="310">
        <f t="shared" ca="1" si="105"/>
        <v>23</v>
      </c>
      <c r="Q244" s="304">
        <f t="shared" ca="1" si="106"/>
        <v>0</v>
      </c>
      <c r="R244" s="306">
        <f t="shared" ca="1" si="107"/>
        <v>0</v>
      </c>
      <c r="S244" s="307">
        <f t="shared" ca="1" si="108"/>
        <v>4.0843000000000034</v>
      </c>
      <c r="T244" s="304">
        <f t="shared" ca="1" si="88"/>
        <v>40.066983000000036</v>
      </c>
      <c r="U244" s="311">
        <f t="shared" ca="1" si="89"/>
        <v>0</v>
      </c>
      <c r="V244" s="306">
        <f t="shared" ca="1" si="90"/>
        <v>1.0424294657272501</v>
      </c>
      <c r="W244" s="304">
        <f t="shared" ca="1" si="91"/>
        <v>8.9438694442252551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1610.3745411475695</v>
      </c>
      <c r="AG244" s="306">
        <f t="shared" ca="1" si="114"/>
        <v>-11.699639312198011</v>
      </c>
      <c r="AH244" s="304">
        <f t="shared" ca="1" si="115"/>
        <v>-2.258838427387889</v>
      </c>
    </row>
    <row r="245" spans="1:34" x14ac:dyDescent="0.2">
      <c r="A245" s="347">
        <f t="shared" ca="1" si="93"/>
        <v>0.1</v>
      </c>
      <c r="B245" s="304">
        <f t="shared" ca="1" si="94"/>
        <v>12.699999999999942</v>
      </c>
      <c r="D245" s="306">
        <f t="shared" ca="1" si="95"/>
        <v>-0.60243111262999405</v>
      </c>
      <c r="E245" s="307">
        <f t="shared" ca="1" si="96"/>
        <v>-11.915320666746698</v>
      </c>
      <c r="F245" s="304">
        <f t="shared" ca="1" si="97"/>
        <v>11.930540215634226</v>
      </c>
      <c r="G245" s="306">
        <f t="shared" ca="1" si="98"/>
        <v>21.026519395135075</v>
      </c>
      <c r="H245" s="307">
        <f t="shared" ca="1" si="99"/>
        <v>72.500539887726148</v>
      </c>
      <c r="I245" s="304">
        <f t="shared" ca="1" si="100"/>
        <v>75.48803085182287</v>
      </c>
      <c r="J245" s="306">
        <f t="shared" ca="1" si="101"/>
        <v>253.69588820789849</v>
      </c>
      <c r="K245" s="307">
        <f t="shared" ca="1" si="102"/>
        <v>1617.6841717396758</v>
      </c>
      <c r="L245" s="304">
        <f t="shared" ca="1" si="87"/>
        <v>1637.4564675711765</v>
      </c>
      <c r="M245" s="306">
        <f t="shared" ca="1" si="103"/>
        <v>1.2885215656483191</v>
      </c>
      <c r="N245" s="304">
        <f t="shared" ca="1" si="104"/>
        <v>73.826847523237717</v>
      </c>
      <c r="P245" s="310">
        <f t="shared" ca="1" si="105"/>
        <v>23</v>
      </c>
      <c r="Q245" s="304">
        <f t="shared" ca="1" si="106"/>
        <v>0</v>
      </c>
      <c r="R245" s="306">
        <f t="shared" ca="1" si="107"/>
        <v>0</v>
      </c>
      <c r="S245" s="307">
        <f t="shared" ca="1" si="108"/>
        <v>4.0843000000000034</v>
      </c>
      <c r="T245" s="304">
        <f t="shared" ca="1" si="88"/>
        <v>40.066983000000036</v>
      </c>
      <c r="U245" s="311">
        <f t="shared" ca="1" si="89"/>
        <v>0</v>
      </c>
      <c r="V245" s="306">
        <f t="shared" ca="1" si="90"/>
        <v>1.0416627752873098</v>
      </c>
      <c r="W245" s="304">
        <f t="shared" ca="1" si="91"/>
        <v>8.6684500152137254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1617.6841717396758</v>
      </c>
      <c r="AG245" s="306">
        <f t="shared" ca="1" si="114"/>
        <v>-11.621288200235472</v>
      </c>
      <c r="AH245" s="304">
        <f t="shared" ca="1" si="115"/>
        <v>-2.1898169684463062</v>
      </c>
    </row>
    <row r="246" spans="1:34" x14ac:dyDescent="0.2">
      <c r="A246" s="347">
        <f t="shared" ca="1" si="93"/>
        <v>0.1</v>
      </c>
      <c r="B246" s="304">
        <f t="shared" ca="1" si="94"/>
        <v>12.799999999999942</v>
      </c>
      <c r="D246" s="306">
        <f t="shared" ca="1" si="95"/>
        <v>-0.59117097927368112</v>
      </c>
      <c r="E246" s="307">
        <f t="shared" ca="1" si="96"/>
        <v>-11.848388492068462</v>
      </c>
      <c r="F246" s="304">
        <f t="shared" ca="1" si="97"/>
        <v>11.863127453825816</v>
      </c>
      <c r="G246" s="306">
        <f t="shared" ca="1" si="98"/>
        <v>20.967402297207705</v>
      </c>
      <c r="H246" s="307">
        <f t="shared" ca="1" si="99"/>
        <v>71.315701038519308</v>
      </c>
      <c r="I246" s="304">
        <f t="shared" ca="1" si="100"/>
        <v>74.334118503607854</v>
      </c>
      <c r="J246" s="306">
        <f t="shared" ca="1" si="101"/>
        <v>255.79558429251563</v>
      </c>
      <c r="K246" s="307">
        <f t="shared" ca="1" si="102"/>
        <v>1624.874983785988</v>
      </c>
      <c r="L246" s="304">
        <f t="shared" ca="1" si="87"/>
        <v>1644.8860428239593</v>
      </c>
      <c r="M246" s="306">
        <f t="shared" ca="1" si="103"/>
        <v>1.2848456030732371</v>
      </c>
      <c r="N246" s="304">
        <f t="shared" ca="1" si="104"/>
        <v>73.616230382037486</v>
      </c>
      <c r="P246" s="310">
        <f t="shared" ca="1" si="105"/>
        <v>23</v>
      </c>
      <c r="Q246" s="304">
        <f t="shared" ca="1" si="106"/>
        <v>0</v>
      </c>
      <c r="R246" s="306">
        <f t="shared" ca="1" si="107"/>
        <v>0</v>
      </c>
      <c r="S246" s="307">
        <f t="shared" ca="1" si="108"/>
        <v>4.0843000000000034</v>
      </c>
      <c r="T246" s="304">
        <f t="shared" ca="1" si="88"/>
        <v>40.066983000000036</v>
      </c>
      <c r="U246" s="311">
        <f t="shared" ca="1" si="89"/>
        <v>0</v>
      </c>
      <c r="V246" s="306">
        <f t="shared" ca="1" si="90"/>
        <v>1.040909053196353</v>
      </c>
      <c r="W246" s="304">
        <f t="shared" ca="1" si="91"/>
        <v>8.3993811342135043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1624.874983785988</v>
      </c>
      <c r="AG246" s="306">
        <f t="shared" ca="1" si="114"/>
        <v>-11.54414575002761</v>
      </c>
      <c r="AH246" s="304">
        <f t="shared" ca="1" si="115"/>
        <v>-2.1223832762563273</v>
      </c>
    </row>
    <row r="247" spans="1:34" x14ac:dyDescent="0.2">
      <c r="A247" s="347">
        <f t="shared" ca="1" si="93"/>
        <v>0.1</v>
      </c>
      <c r="B247" s="304">
        <f t="shared" ca="1" si="94"/>
        <v>12.899999999999942</v>
      </c>
      <c r="D247" s="306">
        <f t="shared" ca="1" si="95"/>
        <v>-0.58007758810862808</v>
      </c>
      <c r="E247" s="307">
        <f t="shared" ca="1" si="96"/>
        <v>-11.782997859549319</v>
      </c>
      <c r="F247" s="304">
        <f t="shared" ca="1" si="97"/>
        <v>11.797267843291927</v>
      </c>
      <c r="G247" s="306">
        <f t="shared" ca="1" si="98"/>
        <v>20.909394538396842</v>
      </c>
      <c r="H247" s="307">
        <f t="shared" ca="1" si="99"/>
        <v>70.137401252564374</v>
      </c>
      <c r="I247" s="304">
        <f t="shared" ca="1" si="100"/>
        <v>73.187825725495898</v>
      </c>
      <c r="J247" s="306">
        <f t="shared" ca="1" si="101"/>
        <v>257.88942413429584</v>
      </c>
      <c r="K247" s="307">
        <f t="shared" ca="1" si="102"/>
        <v>1631.9476389005422</v>
      </c>
      <c r="L247" s="304">
        <f t="shared" ca="1" si="87"/>
        <v>1652.1985507781362</v>
      </c>
      <c r="M247" s="306">
        <f t="shared" ca="1" si="103"/>
        <v>1.2810647689051144</v>
      </c>
      <c r="N247" s="304">
        <f t="shared" ca="1" si="104"/>
        <v>73.399604541165203</v>
      </c>
      <c r="P247" s="310">
        <f t="shared" ca="1" si="105"/>
        <v>23</v>
      </c>
      <c r="Q247" s="304">
        <f t="shared" ca="1" si="106"/>
        <v>0</v>
      </c>
      <c r="R247" s="306">
        <f t="shared" ca="1" si="107"/>
        <v>0</v>
      </c>
      <c r="S247" s="307">
        <f t="shared" ca="1" si="108"/>
        <v>4.0843000000000034</v>
      </c>
      <c r="T247" s="304">
        <f t="shared" ca="1" si="88"/>
        <v>40.066983000000036</v>
      </c>
      <c r="U247" s="311">
        <f t="shared" ca="1" si="89"/>
        <v>0</v>
      </c>
      <c r="V247" s="306">
        <f t="shared" ca="1" si="90"/>
        <v>1.0401682048214524</v>
      </c>
      <c r="W247" s="304">
        <f t="shared" ca="1" si="91"/>
        <v>8.1365327390427407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1631.9476389005422</v>
      </c>
      <c r="AG247" s="306">
        <f t="shared" ca="1" si="114"/>
        <v>-11.46815876751433</v>
      </c>
      <c r="AH247" s="304">
        <f t="shared" ca="1" si="115"/>
        <v>-2.0565044522227791</v>
      </c>
    </row>
    <row r="248" spans="1:34" x14ac:dyDescent="0.2">
      <c r="A248" s="347">
        <f t="shared" ca="1" si="93"/>
        <v>0.1</v>
      </c>
      <c r="B248" s="304">
        <f t="shared" ca="1" si="94"/>
        <v>12.999999999999941</v>
      </c>
      <c r="D248" s="306">
        <f t="shared" ca="1" si="95"/>
        <v>-0.56914687284732202</v>
      </c>
      <c r="E248" s="307">
        <f t="shared" ca="1" si="96"/>
        <v>-11.719117096586933</v>
      </c>
      <c r="F248" s="304">
        <f t="shared" ca="1" si="97"/>
        <v>11.732929458851615</v>
      </c>
      <c r="G248" s="306">
        <f t="shared" ca="1" si="98"/>
        <v>20.852479851112111</v>
      </c>
      <c r="H248" s="307">
        <f t="shared" ca="1" si="99"/>
        <v>68.965489542905686</v>
      </c>
      <c r="I248" s="304">
        <f t="shared" ca="1" si="100"/>
        <v>72.049043462308859</v>
      </c>
      <c r="J248" s="306">
        <f t="shared" ca="1" si="101"/>
        <v>259.9775178537713</v>
      </c>
      <c r="K248" s="307">
        <f t="shared" ca="1" si="102"/>
        <v>1638.9027834403157</v>
      </c>
      <c r="L248" s="304">
        <f t="shared" ca="1" si="87"/>
        <v>1659.3946617239137</v>
      </c>
      <c r="M248" s="306">
        <f t="shared" ca="1" si="103"/>
        <v>1.2771748146392894</v>
      </c>
      <c r="N248" s="304">
        <f t="shared" ca="1" si="104"/>
        <v>73.176726579234511</v>
      </c>
      <c r="P248" s="310">
        <f t="shared" ca="1" si="105"/>
        <v>23</v>
      </c>
      <c r="Q248" s="304">
        <f t="shared" ca="1" si="106"/>
        <v>0</v>
      </c>
      <c r="R248" s="306">
        <f t="shared" ca="1" si="107"/>
        <v>0</v>
      </c>
      <c r="S248" s="307">
        <f t="shared" ca="1" si="108"/>
        <v>4.0843000000000034</v>
      </c>
      <c r="T248" s="304">
        <f t="shared" ca="1" si="88"/>
        <v>40.066983000000036</v>
      </c>
      <c r="U248" s="311">
        <f t="shared" ca="1" si="89"/>
        <v>0</v>
      </c>
      <c r="V248" s="306">
        <f t="shared" ca="1" si="90"/>
        <v>1.0394401377642128</v>
      </c>
      <c r="W248" s="304">
        <f t="shared" ca="1" si="91"/>
        <v>7.879778925424219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>
        <f t="shared" ca="1" si="112"/>
        <v>12.999999999999941</v>
      </c>
      <c r="AD248" s="323">
        <f t="shared" ca="1" si="113"/>
        <v>259.9775178537713</v>
      </c>
      <c r="AE248" s="324">
        <f t="shared" ca="1" si="92"/>
        <v>1638.9027834403157</v>
      </c>
      <c r="AG248" s="306">
        <f t="shared" ca="1" si="114"/>
        <v>-11.393273763470784</v>
      </c>
      <c r="AH248" s="304">
        <f t="shared" ca="1" si="115"/>
        <v>-1.9921486519214391</v>
      </c>
    </row>
    <row r="249" spans="1:34" x14ac:dyDescent="0.2">
      <c r="A249" s="347">
        <f t="shared" ca="1" si="93"/>
        <v>0.1</v>
      </c>
      <c r="B249" s="304">
        <f t="shared" ca="1" si="94"/>
        <v>13.099999999999941</v>
      </c>
      <c r="D249" s="306">
        <f t="shared" ca="1" si="95"/>
        <v>-0.55837490238598242</v>
      </c>
      <c r="E249" s="307">
        <f t="shared" ca="1" si="96"/>
        <v>-11.656715535345199</v>
      </c>
      <c r="F249" s="304">
        <f t="shared" ca="1" si="97"/>
        <v>11.670081388044073</v>
      </c>
      <c r="G249" s="306">
        <f t="shared" ca="1" si="98"/>
        <v>20.796642360873513</v>
      </c>
      <c r="H249" s="307">
        <f t="shared" ca="1" si="99"/>
        <v>67.799817989371164</v>
      </c>
      <c r="I249" s="304">
        <f t="shared" ca="1" si="100"/>
        <v>70.917668129161839</v>
      </c>
      <c r="J249" s="306">
        <f t="shared" ca="1" si="101"/>
        <v>262.05997396437056</v>
      </c>
      <c r="K249" s="307">
        <f t="shared" ca="1" si="102"/>
        <v>1645.7410488169296</v>
      </c>
      <c r="L249" s="304">
        <f t="shared" ca="1" si="87"/>
        <v>1666.4750312306674</v>
      </c>
      <c r="M249" s="306">
        <f t="shared" ca="1" si="103"/>
        <v>1.2731712650571716</v>
      </c>
      <c r="N249" s="304">
        <f t="shared" ca="1" si="104"/>
        <v>72.947340085107797</v>
      </c>
      <c r="P249" s="310">
        <f t="shared" ca="1" si="105"/>
        <v>23</v>
      </c>
      <c r="Q249" s="304">
        <f t="shared" ca="1" si="106"/>
        <v>0</v>
      </c>
      <c r="R249" s="306">
        <f t="shared" ca="1" si="107"/>
        <v>0</v>
      </c>
      <c r="S249" s="307">
        <f t="shared" ca="1" si="108"/>
        <v>4.0843000000000034</v>
      </c>
      <c r="T249" s="304">
        <f t="shared" ca="1" si="88"/>
        <v>40.066983000000036</v>
      </c>
      <c r="U249" s="311">
        <f t="shared" ca="1" si="89"/>
        <v>0</v>
      </c>
      <c r="V249" s="306">
        <f t="shared" ca="1" si="90"/>
        <v>1.0387247618130473</v>
      </c>
      <c r="W249" s="304">
        <f t="shared" ca="1" si="91"/>
        <v>7.6289978056055636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1645.7410488169296</v>
      </c>
      <c r="AG249" s="306">
        <f t="shared" ca="1" si="114"/>
        <v>-11.319436810920168</v>
      </c>
      <c r="AH249" s="304">
        <f t="shared" ca="1" si="115"/>
        <v>-1.9292850489494435</v>
      </c>
    </row>
    <row r="250" spans="1:34" x14ac:dyDescent="0.2">
      <c r="A250" s="347">
        <f t="shared" ca="1" si="93"/>
        <v>0.1</v>
      </c>
      <c r="B250" s="304">
        <f t="shared" ca="1" si="94"/>
        <v>13.199999999999941</v>
      </c>
      <c r="D250" s="306">
        <f t="shared" ca="1" si="95"/>
        <v>-0.54775787742997983</v>
      </c>
      <c r="E250" s="307">
        <f t="shared" ca="1" si="96"/>
        <v>-11.595763477948131</v>
      </c>
      <c r="F250" s="304">
        <f t="shared" ca="1" si="97"/>
        <v>11.608693696053933</v>
      </c>
      <c r="G250" s="306">
        <f t="shared" ca="1" si="98"/>
        <v>20.741866573130515</v>
      </c>
      <c r="H250" s="307">
        <f t="shared" ca="1" si="99"/>
        <v>66.640241641576353</v>
      </c>
      <c r="I250" s="304">
        <f t="shared" ca="1" si="100"/>
        <v>69.793601676552242</v>
      </c>
      <c r="J250" s="306">
        <f t="shared" ca="1" si="101"/>
        <v>264.13689941107077</v>
      </c>
      <c r="K250" s="307">
        <f t="shared" ca="1" si="102"/>
        <v>1652.463051798477</v>
      </c>
      <c r="L250" s="304">
        <f t="shared" ca="1" si="87"/>
        <v>1673.4403004558096</v>
      </c>
      <c r="M250" s="306">
        <f t="shared" ca="1" si="103"/>
        <v>1.2690494034797122</v>
      </c>
      <c r="N250" s="304">
        <f t="shared" ca="1" si="104"/>
        <v>72.711174812982236</v>
      </c>
      <c r="P250" s="310">
        <f t="shared" ca="1" si="105"/>
        <v>23</v>
      </c>
      <c r="Q250" s="304">
        <f t="shared" ca="1" si="106"/>
        <v>0</v>
      </c>
      <c r="R250" s="306">
        <f t="shared" ca="1" si="107"/>
        <v>0</v>
      </c>
      <c r="S250" s="307">
        <f t="shared" ca="1" si="108"/>
        <v>4.0843000000000034</v>
      </c>
      <c r="T250" s="304">
        <f t="shared" ca="1" si="88"/>
        <v>40.066983000000036</v>
      </c>
      <c r="U250" s="311">
        <f t="shared" ca="1" si="89"/>
        <v>0</v>
      </c>
      <c r="V250" s="306">
        <f t="shared" ca="1" si="90"/>
        <v>1.0380219888970095</v>
      </c>
      <c r="W250" s="304">
        <f t="shared" ca="1" si="91"/>
        <v>7.3840713729517082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1652.463051798477</v>
      </c>
      <c r="AG250" s="306">
        <f t="shared" ca="1" si="114"/>
        <v>-11.246593394431873</v>
      </c>
      <c r="AH250" s="304">
        <f t="shared" ca="1" si="115"/>
        <v>-1.867883800309859</v>
      </c>
    </row>
    <row r="251" spans="1:34" x14ac:dyDescent="0.2">
      <c r="A251" s="347">
        <f t="shared" ca="1" si="93"/>
        <v>0.1</v>
      </c>
      <c r="B251" s="304">
        <f t="shared" ca="1" si="94"/>
        <v>13.29999999999994</v>
      </c>
      <c r="D251" s="306">
        <f t="shared" ca="1" si="95"/>
        <v>-0.53729212738181731</v>
      </c>
      <c r="E251" s="307">
        <f t="shared" ca="1" si="96"/>
        <v>-11.536232163079475</v>
      </c>
      <c r="F251" s="304">
        <f t="shared" ca="1" si="97"/>
        <v>11.54873739205355</v>
      </c>
      <c r="G251" s="306">
        <f t="shared" ca="1" si="98"/>
        <v>20.688137360392332</v>
      </c>
      <c r="H251" s="307">
        <f t="shared" ca="1" si="99"/>
        <v>65.486618425268404</v>
      </c>
      <c r="I251" s="304">
        <f t="shared" ca="1" si="100"/>
        <v>68.676751672011719</v>
      </c>
      <c r="J251" s="306">
        <f t="shared" ca="1" si="101"/>
        <v>266.20839960774691</v>
      </c>
      <c r="K251" s="307">
        <f t="shared" ca="1" si="102"/>
        <v>1659.0693948018193</v>
      </c>
      <c r="L251" s="304">
        <f t="shared" ca="1" si="87"/>
        <v>1680.2910964442419</v>
      </c>
      <c r="M251" s="306">
        <f t="shared" ca="1" si="103"/>
        <v>1.2648042559064396</v>
      </c>
      <c r="N251" s="304">
        <f t="shared" ca="1" si="104"/>
        <v>72.467945773623512</v>
      </c>
      <c r="P251" s="310">
        <f t="shared" ca="1" si="105"/>
        <v>23</v>
      </c>
      <c r="Q251" s="304">
        <f t="shared" ca="1" si="106"/>
        <v>0</v>
      </c>
      <c r="R251" s="306">
        <f t="shared" ca="1" si="107"/>
        <v>0</v>
      </c>
      <c r="S251" s="307">
        <f t="shared" ca="1" si="108"/>
        <v>4.0843000000000034</v>
      </c>
      <c r="T251" s="304">
        <f t="shared" ca="1" si="88"/>
        <v>40.066983000000036</v>
      </c>
      <c r="U251" s="311">
        <f t="shared" ca="1" si="89"/>
        <v>0</v>
      </c>
      <c r="V251" s="306">
        <f t="shared" ca="1" si="90"/>
        <v>1.0373317330411256</v>
      </c>
      <c r="W251" s="304">
        <f t="shared" ca="1" si="91"/>
        <v>7.1448853722312027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1659.0693948018193</v>
      </c>
      <c r="AG251" s="306">
        <f t="shared" ca="1" si="114"/>
        <v>-11.174688250254173</v>
      </c>
      <c r="AH251" s="304">
        <f t="shared" ca="1" si="115"/>
        <v>-1.8079160132585026</v>
      </c>
    </row>
    <row r="252" spans="1:34" x14ac:dyDescent="0.2">
      <c r="A252" s="347">
        <f t="shared" ca="1" si="93"/>
        <v>0.1</v>
      </c>
      <c r="B252" s="304">
        <f t="shared" ca="1" si="94"/>
        <v>13.39999999999994</v>
      </c>
      <c r="D252" s="306">
        <f t="shared" ca="1" si="95"/>
        <v>-0.52697410749083518</v>
      </c>
      <c r="E252" s="307">
        <f t="shared" ca="1" si="96"/>
        <v>-11.478093733915264</v>
      </c>
      <c r="F252" s="304">
        <f t="shared" ca="1" si="97"/>
        <v>11.490184396888964</v>
      </c>
      <c r="G252" s="306">
        <f t="shared" ca="1" si="98"/>
        <v>20.635439949643249</v>
      </c>
      <c r="H252" s="307">
        <f t="shared" ca="1" si="99"/>
        <v>64.338809051876879</v>
      </c>
      <c r="I252" s="304">
        <f t="shared" ca="1" si="100"/>
        <v>67.567031399412585</v>
      </c>
      <c r="J252" s="306">
        <f t="shared" ca="1" si="101"/>
        <v>268.27457847324871</v>
      </c>
      <c r="K252" s="307">
        <f t="shared" ca="1" si="102"/>
        <v>1665.5606661756765</v>
      </c>
      <c r="L252" s="304">
        <f t="shared" ca="1" si="87"/>
        <v>1687.0280324187156</v>
      </c>
      <c r="M252" s="306">
        <f t="shared" ca="1" si="103"/>
        <v>1.2604305739464359</v>
      </c>
      <c r="N252" s="304">
        <f t="shared" ca="1" si="104"/>
        <v>72.217352256382796</v>
      </c>
      <c r="P252" s="310">
        <f t="shared" ca="1" si="105"/>
        <v>23</v>
      </c>
      <c r="Q252" s="304">
        <f t="shared" ca="1" si="106"/>
        <v>0</v>
      </c>
      <c r="R252" s="306">
        <f t="shared" ca="1" si="107"/>
        <v>0</v>
      </c>
      <c r="S252" s="307">
        <f t="shared" ca="1" si="108"/>
        <v>4.0843000000000034</v>
      </c>
      <c r="T252" s="304">
        <f t="shared" ca="1" si="88"/>
        <v>40.066983000000036</v>
      </c>
      <c r="U252" s="311">
        <f t="shared" ca="1" si="89"/>
        <v>0</v>
      </c>
      <c r="V252" s="306">
        <f t="shared" ca="1" si="90"/>
        <v>1.0366539103231664</v>
      </c>
      <c r="W252" s="304">
        <f t="shared" ca="1" si="91"/>
        <v>6.9113291753327717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1665.5606661756765</v>
      </c>
      <c r="AG252" s="306">
        <f t="shared" ca="1" si="114"/>
        <v>-11.103665196126133</v>
      </c>
      <c r="AH252" s="304">
        <f t="shared" ca="1" si="115"/>
        <v>-1.7493537135448416</v>
      </c>
    </row>
    <row r="253" spans="1:34" x14ac:dyDescent="0.2">
      <c r="A253" s="347">
        <f t="shared" ca="1" si="93"/>
        <v>0.1</v>
      </c>
      <c r="B253" s="304">
        <f t="shared" ca="1" si="94"/>
        <v>13.49999999999994</v>
      </c>
      <c r="D253" s="306">
        <f t="shared" ca="1" si="95"/>
        <v>-0.51680039626504248</v>
      </c>
      <c r="E253" s="307">
        <f t="shared" ca="1" si="96"/>
        <v>-11.421321207319631</v>
      </c>
      <c r="F253" s="304">
        <f t="shared" ca="1" si="97"/>
        <v>11.433007512039378</v>
      </c>
      <c r="G253" s="306">
        <f t="shared" ca="1" si="98"/>
        <v>20.583759910016745</v>
      </c>
      <c r="H253" s="307">
        <f t="shared" ca="1" si="99"/>
        <v>63.196676931144914</v>
      </c>
      <c r="I253" s="304">
        <f t="shared" ca="1" si="100"/>
        <v>66.464359977154047</v>
      </c>
      <c r="J253" s="306">
        <f t="shared" ca="1" si="101"/>
        <v>270.3355384662317</v>
      </c>
      <c r="K253" s="307">
        <f t="shared" ca="1" si="102"/>
        <v>1671.9374404748276</v>
      </c>
      <c r="L253" s="304">
        <f t="shared" ca="1" si="87"/>
        <v>1693.651708061414</v>
      </c>
      <c r="M253" s="306">
        <f t="shared" ca="1" si="103"/>
        <v>1.255922816439321</v>
      </c>
      <c r="N253" s="304">
        <f t="shared" ca="1" si="104"/>
        <v>71.959076776156707</v>
      </c>
      <c r="P253" s="310">
        <f t="shared" ca="1" si="105"/>
        <v>23</v>
      </c>
      <c r="Q253" s="304">
        <f t="shared" ca="1" si="106"/>
        <v>0</v>
      </c>
      <c r="R253" s="306">
        <f t="shared" ca="1" si="107"/>
        <v>0</v>
      </c>
      <c r="S253" s="307">
        <f t="shared" ca="1" si="108"/>
        <v>4.0843000000000034</v>
      </c>
      <c r="T253" s="304">
        <f t="shared" ca="1" si="88"/>
        <v>40.066983000000036</v>
      </c>
      <c r="U253" s="311">
        <f t="shared" ca="1" si="89"/>
        <v>0</v>
      </c>
      <c r="V253" s="306">
        <f t="shared" ca="1" si="90"/>
        <v>1.0359884388318179</v>
      </c>
      <c r="W253" s="304">
        <f t="shared" ca="1" si="91"/>
        <v>6.683295662162462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1671.9374404748276</v>
      </c>
      <c r="AG253" s="306">
        <f t="shared" ca="1" si="114"/>
        <v>-11.033466949495873</v>
      </c>
      <c r="AH253" s="304">
        <f t="shared" ca="1" si="115"/>
        <v>-1.6921698149824367</v>
      </c>
    </row>
    <row r="254" spans="1:34" x14ac:dyDescent="0.2">
      <c r="A254" s="347">
        <f t="shared" ca="1" si="93"/>
        <v>0.1</v>
      </c>
      <c r="B254" s="304">
        <f t="shared" ca="1" si="94"/>
        <v>13.599999999999939</v>
      </c>
      <c r="D254" s="306">
        <f t="shared" ca="1" si="95"/>
        <v>-0.5067676931467775</v>
      </c>
      <c r="E254" s="307">
        <f t="shared" ca="1" si="96"/>
        <v>-11.365888444236738</v>
      </c>
      <c r="F254" s="304">
        <f t="shared" ca="1" si="97"/>
        <v>11.377180389782502</v>
      </c>
      <c r="G254" s="306">
        <f t="shared" ca="1" si="98"/>
        <v>20.533083140702068</v>
      </c>
      <c r="H254" s="307">
        <f t="shared" ca="1" si="99"/>
        <v>62.060088086721237</v>
      </c>
      <c r="I254" s="304">
        <f t="shared" ca="1" si="100"/>
        <v>65.368662496601402</v>
      </c>
      <c r="J254" s="306">
        <f t="shared" ca="1" si="101"/>
        <v>272.39138061876764</v>
      </c>
      <c r="K254" s="307">
        <f t="shared" ca="1" si="102"/>
        <v>1678.2002787257209</v>
      </c>
      <c r="L254" s="304">
        <f t="shared" ca="1" si="87"/>
        <v>1700.1627097870621</v>
      </c>
      <c r="M254" s="306">
        <f t="shared" ca="1" si="103"/>
        <v>1.2512751296552866</v>
      </c>
      <c r="N254" s="304">
        <f t="shared" ca="1" si="104"/>
        <v>71.692783938932806</v>
      </c>
      <c r="P254" s="310">
        <f t="shared" ca="1" si="105"/>
        <v>23</v>
      </c>
      <c r="Q254" s="304">
        <f t="shared" ca="1" si="106"/>
        <v>0</v>
      </c>
      <c r="R254" s="306">
        <f t="shared" ca="1" si="107"/>
        <v>0</v>
      </c>
      <c r="S254" s="307">
        <f t="shared" ca="1" si="108"/>
        <v>4.0843000000000034</v>
      </c>
      <c r="T254" s="304">
        <f t="shared" ca="1" si="88"/>
        <v>40.066983000000036</v>
      </c>
      <c r="U254" s="311">
        <f t="shared" ca="1" si="89"/>
        <v>0</v>
      </c>
      <c r="V254" s="306">
        <f t="shared" ca="1" si="90"/>
        <v>1.0353352386261974</v>
      </c>
      <c r="W254" s="304">
        <f t="shared" ca="1" si="91"/>
        <v>6.4606811064845857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1678.2002787257209</v>
      </c>
      <c r="AG254" s="306">
        <f t="shared" ca="1" si="114"/>
        <v>-10.964034932740383</v>
      </c>
      <c r="AH254" s="304">
        <f t="shared" ca="1" si="115"/>
        <v>-1.6363380902877986</v>
      </c>
    </row>
    <row r="255" spans="1:34" x14ac:dyDescent="0.2">
      <c r="A255" s="347">
        <f t="shared" ca="1" si="93"/>
        <v>0.1</v>
      </c>
      <c r="B255" s="304">
        <f t="shared" ca="1" si="94"/>
        <v>13.699999999999939</v>
      </c>
      <c r="D255" s="306">
        <f t="shared" ca="1" si="95"/>
        <v>-0.4968728164552641</v>
      </c>
      <c r="E255" s="307">
        <f t="shared" ca="1" si="96"/>
        <v>-11.311770121214082</v>
      </c>
      <c r="F255" s="304">
        <f t="shared" ca="1" si="97"/>
        <v>11.322677504500595</v>
      </c>
      <c r="G255" s="306">
        <f t="shared" ca="1" si="98"/>
        <v>20.483395859056543</v>
      </c>
      <c r="H255" s="307">
        <f t="shared" ca="1" si="99"/>
        <v>60.928911074599831</v>
      </c>
      <c r="I255" s="304">
        <f t="shared" ca="1" si="100"/>
        <v>64.279870182315307</v>
      </c>
      <c r="J255" s="306">
        <f t="shared" ca="1" si="101"/>
        <v>274.44220456875559</v>
      </c>
      <c r="K255" s="307">
        <f t="shared" ca="1" si="102"/>
        <v>1684.3497286837869</v>
      </c>
      <c r="L255" s="304">
        <f t="shared" ca="1" si="87"/>
        <v>1706.561611007849</v>
      </c>
      <c r="M255" s="306">
        <f t="shared" ca="1" si="103"/>
        <v>1.2464813259534366</v>
      </c>
      <c r="N255" s="304">
        <f t="shared" ca="1" si="104"/>
        <v>71.418119219002605</v>
      </c>
      <c r="P255" s="310">
        <f t="shared" ca="1" si="105"/>
        <v>23</v>
      </c>
      <c r="Q255" s="304">
        <f t="shared" ca="1" si="106"/>
        <v>0</v>
      </c>
      <c r="R255" s="306">
        <f t="shared" ca="1" si="107"/>
        <v>0</v>
      </c>
      <c r="S255" s="307">
        <f t="shared" ca="1" si="108"/>
        <v>4.0843000000000034</v>
      </c>
      <c r="T255" s="304">
        <f t="shared" ca="1" si="88"/>
        <v>40.066983000000036</v>
      </c>
      <c r="U255" s="311">
        <f t="shared" ca="1" si="89"/>
        <v>0</v>
      </c>
      <c r="V255" s="306">
        <f t="shared" ca="1" si="90"/>
        <v>1.0346942316966696</v>
      </c>
      <c r="W255" s="304">
        <f t="shared" ca="1" si="91"/>
        <v>6.2433850664821158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1684.3497286837869</v>
      </c>
      <c r="AG255" s="306">
        <f t="shared" ca="1" si="114"/>
        <v>-10.895309063833865</v>
      </c>
      <c r="AH255" s="304">
        <f t="shared" ca="1" si="115"/>
        <v>-1.581833143129687</v>
      </c>
    </row>
    <row r="256" spans="1:34" x14ac:dyDescent="0.2">
      <c r="A256" s="347">
        <f t="shared" ca="1" si="93"/>
        <v>0.1</v>
      </c>
      <c r="B256" s="304">
        <f t="shared" ca="1" si="94"/>
        <v>13.799999999999939</v>
      </c>
      <c r="D256" s="306">
        <f t="shared" ca="1" si="95"/>
        <v>-0.48711270160059494</v>
      </c>
      <c r="E256" s="307">
        <f t="shared" ca="1" si="96"/>
        <v>-11.258941702994445</v>
      </c>
      <c r="F256" s="304">
        <f t="shared" ca="1" si="97"/>
        <v>11.269474125064049</v>
      </c>
      <c r="G256" s="306">
        <f t="shared" ca="1" si="98"/>
        <v>20.434684588896484</v>
      </c>
      <c r="H256" s="307">
        <f t="shared" ca="1" si="99"/>
        <v>59.803016904300385</v>
      </c>
      <c r="I256" s="304">
        <f t="shared" ca="1" si="100"/>
        <v>63.197920575788892</v>
      </c>
      <c r="J256" s="306">
        <f t="shared" ca="1" si="101"/>
        <v>276.48810859115326</v>
      </c>
      <c r="K256" s="307">
        <f t="shared" ca="1" si="102"/>
        <v>1690.3863250827319</v>
      </c>
      <c r="L256" s="304">
        <f t="shared" ca="1" si="87"/>
        <v>1712.8489723904488</v>
      </c>
      <c r="M256" s="306">
        <f t="shared" ca="1" si="103"/>
        <v>1.2415348607671162</v>
      </c>
      <c r="N256" s="304">
        <f t="shared" ca="1" si="104"/>
        <v>71.134707640318055</v>
      </c>
      <c r="P256" s="310">
        <f t="shared" ca="1" si="105"/>
        <v>23</v>
      </c>
      <c r="Q256" s="304">
        <f t="shared" ca="1" si="106"/>
        <v>0</v>
      </c>
      <c r="R256" s="306">
        <f t="shared" ca="1" si="107"/>
        <v>0</v>
      </c>
      <c r="S256" s="307">
        <f t="shared" ca="1" si="108"/>
        <v>4.0843000000000034</v>
      </c>
      <c r="T256" s="304">
        <f t="shared" ca="1" si="88"/>
        <v>40.066983000000036</v>
      </c>
      <c r="U256" s="311">
        <f t="shared" ca="1" si="89"/>
        <v>0</v>
      </c>
      <c r="V256" s="306">
        <f t="shared" ca="1" si="90"/>
        <v>1.0340653419269197</v>
      </c>
      <c r="W256" s="304">
        <f t="shared" ca="1" si="91"/>
        <v>6.03131027982357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1690.3863250827319</v>
      </c>
      <c r="AG256" s="306">
        <f t="shared" ca="1" si="114"/>
        <v>-10.827227530745509</v>
      </c>
      <c r="AH256" s="304">
        <f t="shared" ca="1" si="115"/>
        <v>-1.5286303813339155</v>
      </c>
    </row>
    <row r="257" spans="1:34" x14ac:dyDescent="0.2">
      <c r="A257" s="347">
        <f t="shared" ca="1" si="93"/>
        <v>0.1</v>
      </c>
      <c r="B257" s="304">
        <f t="shared" ca="1" si="94"/>
        <v>13.899999999999938</v>
      </c>
      <c r="D257" s="306">
        <f t="shared" ca="1" si="95"/>
        <v>-0.47748439957521471</v>
      </c>
      <c r="E257" s="307">
        <f t="shared" ca="1" si="96"/>
        <v>-11.207379416115486</v>
      </c>
      <c r="F257" s="304">
        <f t="shared" ca="1" si="97"/>
        <v>11.217546288231077</v>
      </c>
      <c r="G257" s="306">
        <f t="shared" ca="1" si="98"/>
        <v>20.386936148938961</v>
      </c>
      <c r="H257" s="307">
        <f t="shared" ca="1" si="99"/>
        <v>58.682278962688834</v>
      </c>
      <c r="I257" s="304">
        <f t="shared" ca="1" si="100"/>
        <v>62.122757744611967</v>
      </c>
      <c r="J257" s="306">
        <f t="shared" ca="1" si="101"/>
        <v>278.52918962804506</v>
      </c>
      <c r="K257" s="307">
        <f t="shared" ca="1" si="102"/>
        <v>1696.3105898760814</v>
      </c>
      <c r="L257" s="304">
        <f t="shared" ca="1" si="87"/>
        <v>1719.0253421054019</v>
      </c>
      <c r="M257" s="306">
        <f t="shared" ca="1" si="103"/>
        <v>1.2364288077734908</v>
      </c>
      <c r="N257" s="304">
        <f t="shared" ca="1" si="104"/>
        <v>70.842152353813177</v>
      </c>
      <c r="P257" s="310">
        <f t="shared" ca="1" si="105"/>
        <v>23</v>
      </c>
      <c r="Q257" s="304">
        <f t="shared" ca="1" si="106"/>
        <v>0</v>
      </c>
      <c r="R257" s="306">
        <f t="shared" ca="1" si="107"/>
        <v>0</v>
      </c>
      <c r="S257" s="307">
        <f t="shared" ca="1" si="108"/>
        <v>4.0843000000000034</v>
      </c>
      <c r="T257" s="304">
        <f t="shared" ca="1" si="88"/>
        <v>40.066983000000036</v>
      </c>
      <c r="U257" s="311">
        <f t="shared" ca="1" si="89"/>
        <v>0</v>
      </c>
      <c r="V257" s="306">
        <f t="shared" ca="1" si="90"/>
        <v>1.0334484950572358</v>
      </c>
      <c r="W257" s="304">
        <f t="shared" ca="1" si="91"/>
        <v>5.8243625630344704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1696.3105898760814</v>
      </c>
      <c r="AG257" s="306">
        <f t="shared" ca="1" si="114"/>
        <v>-10.759726547661217</v>
      </c>
      <c r="AH257" s="304">
        <f t="shared" ca="1" si="115"/>
        <v>-1.4767059911915297</v>
      </c>
    </row>
    <row r="258" spans="1:34" x14ac:dyDescent="0.2">
      <c r="A258" s="347">
        <f t="shared" ca="1" si="93"/>
        <v>0.1</v>
      </c>
      <c r="B258" s="304">
        <f t="shared" ca="1" si="94"/>
        <v>13.999999999999938</v>
      </c>
      <c r="D258" s="306">
        <f t="shared" ca="1" si="95"/>
        <v>-0.467985075730666</v>
      </c>
      <c r="E258" s="307">
        <f t="shared" ca="1" si="96"/>
        <v>-11.157060223457426</v>
      </c>
      <c r="F258" s="304">
        <f t="shared" ca="1" si="97"/>
        <v>11.166870773003621</v>
      </c>
      <c r="G258" s="306">
        <f t="shared" ca="1" si="98"/>
        <v>20.340137641365896</v>
      </c>
      <c r="H258" s="307">
        <f t="shared" ca="1" si="99"/>
        <v>57.566572940343093</v>
      </c>
      <c r="I258" s="304">
        <f t="shared" ca="1" si="100"/>
        <v>61.054332519204166</v>
      </c>
      <c r="J258" s="306">
        <f t="shared" ca="1" si="101"/>
        <v>280.5655433175603</v>
      </c>
      <c r="K258" s="307">
        <f t="shared" ca="1" si="102"/>
        <v>1702.123032471233</v>
      </c>
      <c r="L258" s="304">
        <f t="shared" ca="1" si="87"/>
        <v>1725.0912560691229</v>
      </c>
      <c r="M258" s="306">
        <f t="shared" ca="1" si="103"/>
        <v>1.2311558320923557</v>
      </c>
      <c r="N258" s="304">
        <f t="shared" ca="1" si="104"/>
        <v>70.540033101809016</v>
      </c>
      <c r="P258" s="310">
        <f t="shared" ca="1" si="105"/>
        <v>23</v>
      </c>
      <c r="Q258" s="304">
        <f t="shared" ca="1" si="106"/>
        <v>0</v>
      </c>
      <c r="R258" s="306">
        <f t="shared" ca="1" si="107"/>
        <v>0</v>
      </c>
      <c r="S258" s="307">
        <f t="shared" ca="1" si="108"/>
        <v>4.0843000000000034</v>
      </c>
      <c r="T258" s="304">
        <f t="shared" ca="1" si="88"/>
        <v>40.066983000000036</v>
      </c>
      <c r="U258" s="311">
        <f t="shared" ca="1" si="89"/>
        <v>0</v>
      </c>
      <c r="V258" s="306">
        <f t="shared" ca="1" si="90"/>
        <v>1.0328436186489696</v>
      </c>
      <c r="W258" s="304">
        <f t="shared" ca="1" si="91"/>
        <v>5.6224507149816558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>
        <f t="shared" ca="1" si="112"/>
        <v>13.999999999999938</v>
      </c>
      <c r="AD258" s="323">
        <f t="shared" ca="1" si="113"/>
        <v>280.5655433175603</v>
      </c>
      <c r="AE258" s="324">
        <f t="shared" ca="1" si="92"/>
        <v>1702.123032471233</v>
      </c>
      <c r="AG258" s="306">
        <f t="shared" ca="1" si="114"/>
        <v>-10.692740090915205</v>
      </c>
      <c r="AH258" s="304">
        <f t="shared" ca="1" si="115"/>
        <v>-1.4260369128209156</v>
      </c>
    </row>
    <row r="259" spans="1:34" x14ac:dyDescent="0.2">
      <c r="A259" s="347">
        <f t="shared" ca="1" si="93"/>
        <v>0.1</v>
      </c>
      <c r="B259" s="304">
        <f t="shared" ca="1" si="94"/>
        <v>14.099999999999937</v>
      </c>
      <c r="D259" s="306">
        <f t="shared" ca="1" si="95"/>
        <v>-0.45861200884916598</v>
      </c>
      <c r="E259" s="307">
        <f t="shared" ca="1" si="96"/>
        <v>-11.107961799680325</v>
      </c>
      <c r="F259" s="304">
        <f t="shared" ca="1" si="97"/>
        <v>11.117425075880567</v>
      </c>
      <c r="G259" s="306">
        <f t="shared" ca="1" si="98"/>
        <v>20.294276440480978</v>
      </c>
      <c r="H259" s="307">
        <f t="shared" ca="1" si="99"/>
        <v>56.455776760375059</v>
      </c>
      <c r="I259" s="304">
        <f t="shared" ca="1" si="100"/>
        <v>59.99260275950666</v>
      </c>
      <c r="J259" s="306">
        <f t="shared" ca="1" si="101"/>
        <v>282.59726402165262</v>
      </c>
      <c r="K259" s="307">
        <f t="shared" ca="1" si="102"/>
        <v>1707.8241499562689</v>
      </c>
      <c r="L259" s="304">
        <f t="shared" ca="1" si="87"/>
        <v>1731.0472381787783</v>
      </c>
      <c r="M259" s="306">
        <f t="shared" ca="1" si="103"/>
        <v>1.2257081613460084</v>
      </c>
      <c r="N259" s="304">
        <f t="shared" ca="1" si="104"/>
        <v>70.227904559866431</v>
      </c>
      <c r="P259" s="310">
        <f t="shared" ca="1" si="105"/>
        <v>23</v>
      </c>
      <c r="Q259" s="304">
        <f t="shared" ca="1" si="106"/>
        <v>0</v>
      </c>
      <c r="R259" s="306">
        <f t="shared" ca="1" si="107"/>
        <v>0</v>
      </c>
      <c r="S259" s="307">
        <f t="shared" ca="1" si="108"/>
        <v>4.0843000000000034</v>
      </c>
      <c r="T259" s="304">
        <f t="shared" ca="1" si="88"/>
        <v>40.066983000000036</v>
      </c>
      <c r="U259" s="311">
        <f t="shared" ca="1" si="89"/>
        <v>0</v>
      </c>
      <c r="V259" s="306">
        <f t="shared" ca="1" si="90"/>
        <v>1.0322506420501254</v>
      </c>
      <c r="W259" s="304">
        <f t="shared" ca="1" si="91"/>
        <v>5.4254864242883221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1707.8241499562689</v>
      </c>
      <c r="AG259" s="306">
        <f t="shared" ca="1" si="114"/>
        <v>-10.626199612283866</v>
      </c>
      <c r="AH259" s="304">
        <f t="shared" ca="1" si="115"/>
        <v>-1.3766008165368977</v>
      </c>
    </row>
    <row r="260" spans="1:34" x14ac:dyDescent="0.2">
      <c r="A260" s="347">
        <f t="shared" ca="1" si="93"/>
        <v>0.1</v>
      </c>
      <c r="B260" s="304">
        <f t="shared" ca="1" si="94"/>
        <v>14.199999999999937</v>
      </c>
      <c r="D260" s="306">
        <f t="shared" ca="1" si="95"/>
        <v>-0.44936259052152799</v>
      </c>
      <c r="E260" s="307">
        <f t="shared" ca="1" si="96"/>
        <v>-11.06006250749317</v>
      </c>
      <c r="F260" s="304">
        <f t="shared" ca="1" si="97"/>
        <v>11.069187386950151</v>
      </c>
      <c r="G260" s="306">
        <f t="shared" ca="1" si="98"/>
        <v>20.249340181428824</v>
      </c>
      <c r="H260" s="307">
        <f t="shared" ca="1" si="99"/>
        <v>55.349770509625742</v>
      </c>
      <c r="I260" s="304">
        <f t="shared" ca="1" si="100"/>
        <v>58.93753365429761</v>
      </c>
      <c r="J260" s="306">
        <f t="shared" ca="1" si="101"/>
        <v>284.62444485274813</v>
      </c>
      <c r="K260" s="307">
        <f t="shared" ca="1" si="102"/>
        <v>1713.4144273197689</v>
      </c>
      <c r="L260" s="304">
        <f t="shared" ref="L260:L323" ca="1" si="116">SQRT(pos_x^2+pos_z^2)</f>
        <v>1736.8938005402827</v>
      </c>
      <c r="M260" s="306">
        <f t="shared" ca="1" si="103"/>
        <v>1.2200775543979838</v>
      </c>
      <c r="N260" s="304">
        <f t="shared" ca="1" si="104"/>
        <v>69.905294545647578</v>
      </c>
      <c r="P260" s="310">
        <f t="shared" ca="1" si="105"/>
        <v>23</v>
      </c>
      <c r="Q260" s="304">
        <f t="shared" ca="1" si="106"/>
        <v>0</v>
      </c>
      <c r="R260" s="306">
        <f t="shared" ca="1" si="107"/>
        <v>0</v>
      </c>
      <c r="S260" s="307">
        <f t="shared" ca="1" si="108"/>
        <v>4.0843000000000034</v>
      </c>
      <c r="T260" s="304">
        <f t="shared" ref="T260:T323" ca="1" si="117">m*g</f>
        <v>40.066983000000036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1.0316694963620423</v>
      </c>
      <c r="W260" s="304">
        <f t="shared" ref="W260:W323" ca="1" si="120">1/2*Rho*Sref*Cx*vit_xz^2</f>
        <v>5.2333841805068921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1713.4144273197689</v>
      </c>
      <c r="AG260" s="306">
        <f t="shared" ca="1" si="114"/>
        <v>-10.560033727032994</v>
      </c>
      <c r="AH260" s="304">
        <f t="shared" ca="1" si="115"/>
        <v>-1.3283760801822386</v>
      </c>
    </row>
    <row r="261" spans="1:34" x14ac:dyDescent="0.2">
      <c r="A261" s="347">
        <f t="shared" ref="A261:A324" ca="1" si="122">IF(B260+0.01&lt;=T_ini+ROUNDUP(Temps_fin_propu,0), 0.01, IF(K260&gt;0, 0.1, 0.0001))</f>
        <v>0.1</v>
      </c>
      <c r="B261" s="304">
        <f t="shared" ref="B261:B324" ca="1" si="123">B260+pas</f>
        <v>14.299999999999937</v>
      </c>
      <c r="D261" s="306">
        <f t="shared" ref="D261:D324" ca="1" si="124">IF(AND(L260&lt;L_rampe,Poussee&lt;Poids*SIN(M260)),0,(-W260+Poussee)/m*COS(M260)-U260/m*SIN(M260))</f>
        <v>-0.44023432484509489</v>
      </c>
      <c r="E261" s="307">
        <f t="shared" ref="E261:E324" ca="1" si="125">IF(AND(L260&lt;L_rampe,Poussee&lt;Poids*SIN(M260)),0,(-W260+Poussee)/m*SIN(M260)+U260/m*COS(M260)-Poids/m)</f>
        <v>-11.01334137469741</v>
      </c>
      <c r="F261" s="304">
        <f t="shared" ref="F261:F324" ca="1" si="126">SQRT(acc_x^2+acc_z^2)</f>
        <v>11.022136566763889</v>
      </c>
      <c r="G261" s="306">
        <f t="shared" ref="G261:G324" ca="1" si="127">G260+acc_x*pas</f>
        <v>20.205316748944316</v>
      </c>
      <c r="H261" s="307">
        <f t="shared" ref="H261:H324" ca="1" si="128">H260+acc_z*pas</f>
        <v>54.248436372156</v>
      </c>
      <c r="I261" s="304">
        <f t="shared" ref="I261:I324" ca="1" si="129">SQRT(vit_x^2+vit_z^2)</f>
        <v>57.889098056102306</v>
      </c>
      <c r="J261" s="306">
        <f t="shared" ref="J261:J324" ca="1" si="130">J260+0.5*(vit_x+G260)*pas*(K260&gt;=0)</f>
        <v>286.64717769926676</v>
      </c>
      <c r="K261" s="307">
        <f t="shared" ref="K261:K324" ca="1" si="131">K260+0.5*(vit_z+H260)*pas</f>
        <v>1718.8943376638581</v>
      </c>
      <c r="L261" s="304">
        <f t="shared" ca="1" si="116"/>
        <v>1742.6314436896369</v>
      </c>
      <c r="M261" s="306">
        <f t="shared" ref="M261:M324" ca="1" si="132">IF(AND(L260&gt;L_rampe,G261&gt;0),ATAN2(G261,H261),$M$4)</f>
        <v>1.2142552675735814</v>
      </c>
      <c r="N261" s="304">
        <f t="shared" ref="N261:N324" ca="1" si="133">DEGREES(Beta)</f>
        <v>69.571702083494699</v>
      </c>
      <c r="P261" s="310">
        <f t="shared" ref="P261:P324" ca="1" si="134">MATCH(t-pas/2-T_ini,CdP_t)</f>
        <v>23</v>
      </c>
      <c r="Q261" s="304">
        <f t="shared" ref="Q261:Q324" ca="1" si="135">(INDEX(CdP,2,i_P+1)-INDEX(CdP,2,i_P+0))/(INDEX(CdP,1,i_P+1)-INDEX(CdP,1,i_P+0))*(t-pas/2-T_ini-INDEX(CdP,1,i_P+0))+INDEX(CdP,2,i_P+0)</f>
        <v>0</v>
      </c>
      <c r="R261" s="306">
        <f t="shared" ref="R261:R324" ca="1" si="136">Poussee/(g*ISP)</f>
        <v>0</v>
      </c>
      <c r="S261" s="307">
        <f t="shared" ref="S261:S324" ca="1" si="137">S260-Débit*pas</f>
        <v>4.0843000000000034</v>
      </c>
      <c r="T261" s="304">
        <f t="shared" ca="1" si="117"/>
        <v>40.066983000000036</v>
      </c>
      <c r="U261" s="311">
        <f t="shared" ca="1" si="118"/>
        <v>0</v>
      </c>
      <c r="V261" s="306">
        <f t="shared" ca="1" si="119"/>
        <v>1.0311001144071394</v>
      </c>
      <c r="W261" s="304">
        <f t="shared" ca="1" si="120"/>
        <v>5.0460611888853322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1718.8943376638581</v>
      </c>
      <c r="AG261" s="306">
        <f t="shared" ref="AG261:AG324" ca="1" si="143">IF(AND(L260&lt;L_rampe,Poussee&lt;Poids*SIN(M260)),0,(-W260+Poussee)/m-Poids*SIN(M260)/m)</f>
        <v>-10.494167873818007</v>
      </c>
      <c r="AH261" s="304">
        <f t="shared" ref="AH261:AH324" ca="1" si="144">IF(AND(L260&lt;L_rampe,Poussee&lt;Poids*SIN(M260)), g*SIN(M260), (-W260+Poussee)/m)</f>
        <v>-1.2813417673792051</v>
      </c>
    </row>
    <row r="262" spans="1:34" x14ac:dyDescent="0.2">
      <c r="A262" s="347">
        <f t="shared" ca="1" si="122"/>
        <v>0.1</v>
      </c>
      <c r="B262" s="304">
        <f t="shared" ca="1" si="123"/>
        <v>14.399999999999936</v>
      </c>
      <c r="D262" s="306">
        <f t="shared" ca="1" si="124"/>
        <v>-0.43122482845767379</v>
      </c>
      <c r="E262" s="307">
        <f t="shared" ca="1" si="125"/>
        <v>-10.967778071947437</v>
      </c>
      <c r="F262" s="304">
        <f t="shared" ca="1" si="126"/>
        <v>10.97625212393417</v>
      </c>
      <c r="G262" s="306">
        <f t="shared" ca="1" si="127"/>
        <v>20.162194266098549</v>
      </c>
      <c r="H262" s="307">
        <f t="shared" ca="1" si="128"/>
        <v>53.151658564961259</v>
      </c>
      <c r="I262" s="304">
        <f t="shared" ca="1" si="129"/>
        <v>56.84727685500966</v>
      </c>
      <c r="J262" s="306">
        <f t="shared" ca="1" si="130"/>
        <v>288.66555325001889</v>
      </c>
      <c r="K262" s="307">
        <f t="shared" ca="1" si="131"/>
        <v>1724.2643424107139</v>
      </c>
      <c r="L262" s="304">
        <f t="shared" ca="1" si="116"/>
        <v>1748.2606568078431</v>
      </c>
      <c r="M262" s="306">
        <f t="shared" ca="1" si="132"/>
        <v>1.2082320181494672</v>
      </c>
      <c r="N262" s="304">
        <f t="shared" ca="1" si="133"/>
        <v>69.22659531253835</v>
      </c>
      <c r="P262" s="310">
        <f t="shared" ca="1" si="134"/>
        <v>23</v>
      </c>
      <c r="Q262" s="304">
        <f t="shared" ca="1" si="135"/>
        <v>0</v>
      </c>
      <c r="R262" s="306">
        <f t="shared" ca="1" si="136"/>
        <v>0</v>
      </c>
      <c r="S262" s="307">
        <f t="shared" ca="1" si="137"/>
        <v>4.0843000000000034</v>
      </c>
      <c r="T262" s="304">
        <f t="shared" ca="1" si="117"/>
        <v>40.066983000000036</v>
      </c>
      <c r="U262" s="311">
        <f t="shared" ca="1" si="118"/>
        <v>0</v>
      </c>
      <c r="V262" s="306">
        <f t="shared" ca="1" si="119"/>
        <v>1.03054243069768</v>
      </c>
      <c r="W262" s="304">
        <f t="shared" ca="1" si="120"/>
        <v>4.8634372885705686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1724.2643424107139</v>
      </c>
      <c r="AG262" s="306">
        <f t="shared" ca="1" si="143"/>
        <v>-10.428523943211218</v>
      </c>
      <c r="AH262" s="304">
        <f t="shared" ca="1" si="144"/>
        <v>-1.2354776066609525</v>
      </c>
    </row>
    <row r="263" spans="1:34" x14ac:dyDescent="0.2">
      <c r="A263" s="347">
        <f t="shared" ca="1" si="122"/>
        <v>0.1</v>
      </c>
      <c r="B263" s="304">
        <f t="shared" ca="1" si="123"/>
        <v>14.499999999999936</v>
      </c>
      <c r="D263" s="306">
        <f t="shared" ca="1" si="124"/>
        <v>-0.42233183092601001</v>
      </c>
      <c r="E263" s="307">
        <f t="shared" ca="1" si="125"/>
        <v>-10.92335289117011</v>
      </c>
      <c r="F263" s="304">
        <f t="shared" ca="1" si="126"/>
        <v>10.93151419339735</v>
      </c>
      <c r="G263" s="306">
        <f t="shared" ca="1" si="127"/>
        <v>20.119961083005947</v>
      </c>
      <c r="H263" s="307">
        <f t="shared" ca="1" si="128"/>
        <v>52.05932327584425</v>
      </c>
      <c r="I263" s="304">
        <f t="shared" ca="1" si="129"/>
        <v>55.812059395085328</v>
      </c>
      <c r="J263" s="306">
        <f t="shared" ca="1" si="130"/>
        <v>290.67966101747413</v>
      </c>
      <c r="K263" s="307">
        <f t="shared" ca="1" si="131"/>
        <v>1729.5248915027541</v>
      </c>
      <c r="L263" s="304">
        <f t="shared" ca="1" si="116"/>
        <v>1753.7819179296059</v>
      </c>
      <c r="M263" s="306">
        <f t="shared" ca="1" si="132"/>
        <v>1.2019979448833211</v>
      </c>
      <c r="N263" s="304">
        <f t="shared" ca="1" si="133"/>
        <v>68.869409225212848</v>
      </c>
      <c r="P263" s="310">
        <f t="shared" ca="1" si="134"/>
        <v>23</v>
      </c>
      <c r="Q263" s="304">
        <f t="shared" ca="1" si="135"/>
        <v>0</v>
      </c>
      <c r="R263" s="306">
        <f t="shared" ca="1" si="136"/>
        <v>0</v>
      </c>
      <c r="S263" s="307">
        <f t="shared" ca="1" si="137"/>
        <v>4.0843000000000034</v>
      </c>
      <c r="T263" s="304">
        <f t="shared" ca="1" si="117"/>
        <v>40.066983000000036</v>
      </c>
      <c r="U263" s="311">
        <f t="shared" ca="1" si="118"/>
        <v>0</v>
      </c>
      <c r="V263" s="306">
        <f t="shared" ca="1" si="119"/>
        <v>1.0299963814055253</v>
      </c>
      <c r="W263" s="304">
        <f t="shared" ca="1" si="120"/>
        <v>4.6854348741003404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1729.5248915027541</v>
      </c>
      <c r="AG263" s="306">
        <f t="shared" ca="1" si="143"/>
        <v>-10.363019871268085</v>
      </c>
      <c r="AH263" s="304">
        <f t="shared" ca="1" si="144"/>
        <v>-1.1907639714444493</v>
      </c>
    </row>
    <row r="264" spans="1:34" x14ac:dyDescent="0.2">
      <c r="A264" s="347">
        <f t="shared" ca="1" si="122"/>
        <v>0.1</v>
      </c>
      <c r="B264" s="304">
        <f t="shared" ca="1" si="123"/>
        <v>14.599999999999936</v>
      </c>
      <c r="D264" s="306">
        <f t="shared" ca="1" si="124"/>
        <v>-0.41355317551014292</v>
      </c>
      <c r="E264" s="307">
        <f t="shared" ca="1" si="125"/>
        <v>-10.88004672458432</v>
      </c>
      <c r="F264" s="304">
        <f t="shared" ca="1" si="126"/>
        <v>10.887903515283028</v>
      </c>
      <c r="G264" s="306">
        <f t="shared" ca="1" si="127"/>
        <v>20.078605765454931</v>
      </c>
      <c r="H264" s="307">
        <f t="shared" ca="1" si="128"/>
        <v>50.971318603385818</v>
      </c>
      <c r="I264" s="304">
        <f t="shared" ca="1" si="129"/>
        <v>54.783443937492876</v>
      </c>
      <c r="J264" s="306">
        <f t="shared" ca="1" si="130"/>
        <v>292.68958935989718</v>
      </c>
      <c r="K264" s="307">
        <f t="shared" ca="1" si="131"/>
        <v>1734.6764235967157</v>
      </c>
      <c r="L264" s="304">
        <f t="shared" ca="1" si="116"/>
        <v>1759.1956941460373</v>
      </c>
      <c r="M264" s="306">
        <f t="shared" ca="1" si="132"/>
        <v>1.1955425653376837</v>
      </c>
      <c r="N264" s="304">
        <f t="shared" ca="1" si="133"/>
        <v>68.49954322209274</v>
      </c>
      <c r="P264" s="310">
        <f t="shared" ca="1" si="134"/>
        <v>23</v>
      </c>
      <c r="Q264" s="304">
        <f t="shared" ca="1" si="135"/>
        <v>0</v>
      </c>
      <c r="R264" s="306">
        <f t="shared" ca="1" si="136"/>
        <v>0</v>
      </c>
      <c r="S264" s="307">
        <f t="shared" ca="1" si="137"/>
        <v>4.0843000000000034</v>
      </c>
      <c r="T264" s="304">
        <f t="shared" ca="1" si="117"/>
        <v>40.066983000000036</v>
      </c>
      <c r="U264" s="311">
        <f t="shared" ca="1" si="118"/>
        <v>0</v>
      </c>
      <c r="V264" s="306">
        <f t="shared" ca="1" si="119"/>
        <v>1.029461904332843</v>
      </c>
      <c r="W264" s="304">
        <f t="shared" ca="1" si="120"/>
        <v>4.5119788200419304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1734.6764235967157</v>
      </c>
      <c r="AG264" s="306">
        <f t="shared" ca="1" si="143"/>
        <v>-10.297569194141801</v>
      </c>
      <c r="AH264" s="304">
        <f t="shared" ca="1" si="144"/>
        <v>-1.147181860808544</v>
      </c>
    </row>
    <row r="265" spans="1:34" x14ac:dyDescent="0.2">
      <c r="A265" s="347">
        <f t="shared" ca="1" si="122"/>
        <v>0.1</v>
      </c>
      <c r="B265" s="304">
        <f t="shared" ca="1" si="123"/>
        <v>14.699999999999935</v>
      </c>
      <c r="D265" s="306">
        <f t="shared" ca="1" si="124"/>
        <v>-0.40488682032806833</v>
      </c>
      <c r="E265" s="307">
        <f t="shared" ca="1" si="125"/>
        <v>-10.837841044260188</v>
      </c>
      <c r="F265" s="304">
        <f t="shared" ca="1" si="126"/>
        <v>10.845401414328846</v>
      </c>
      <c r="G265" s="306">
        <f t="shared" ca="1" si="127"/>
        <v>20.038117083422126</v>
      </c>
      <c r="H265" s="307">
        <f t="shared" ca="1" si="128"/>
        <v>49.887534498959802</v>
      </c>
      <c r="I265" s="304">
        <f t="shared" ca="1" si="129"/>
        <v>53.76143817490226</v>
      </c>
      <c r="J265" s="306">
        <f t="shared" ca="1" si="130"/>
        <v>294.69542550234104</v>
      </c>
      <c r="K265" s="307">
        <f t="shared" ca="1" si="131"/>
        <v>1739.719366251833</v>
      </c>
      <c r="L265" s="304">
        <f t="shared" ca="1" si="116"/>
        <v>1764.5024418015651</v>
      </c>
      <c r="M265" s="306">
        <f t="shared" ca="1" si="132"/>
        <v>1.1888547297351348</v>
      </c>
      <c r="N265" s="304">
        <f t="shared" ca="1" si="133"/>
        <v>68.116358467989357</v>
      </c>
      <c r="P265" s="310">
        <f t="shared" ca="1" si="134"/>
        <v>23</v>
      </c>
      <c r="Q265" s="304">
        <f t="shared" ca="1" si="135"/>
        <v>0</v>
      </c>
      <c r="R265" s="306">
        <f t="shared" ca="1" si="136"/>
        <v>0</v>
      </c>
      <c r="S265" s="307">
        <f t="shared" ca="1" si="137"/>
        <v>4.0843000000000034</v>
      </c>
      <c r="T265" s="304">
        <f t="shared" ca="1" si="117"/>
        <v>40.066983000000036</v>
      </c>
      <c r="U265" s="311">
        <f t="shared" ca="1" si="118"/>
        <v>0</v>
      </c>
      <c r="V265" s="306">
        <f t="shared" ca="1" si="119"/>
        <v>1.0289389388837424</v>
      </c>
      <c r="W265" s="304">
        <f t="shared" ca="1" si="120"/>
        <v>4.3429964086429536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1739.719366251833</v>
      </c>
      <c r="AG265" s="306">
        <f t="shared" ca="1" si="143"/>
        <v>-10.232080559309333</v>
      </c>
      <c r="AH265" s="304">
        <f t="shared" ca="1" si="144"/>
        <v>-1.1047128810425109</v>
      </c>
    </row>
    <row r="266" spans="1:34" x14ac:dyDescent="0.2">
      <c r="A266" s="347">
        <f t="shared" ca="1" si="122"/>
        <v>0.1</v>
      </c>
      <c r="B266" s="304">
        <f t="shared" ca="1" si="123"/>
        <v>14.799999999999935</v>
      </c>
      <c r="D266" s="306">
        <f t="shared" ca="1" si="124"/>
        <v>-0.39633083994850221</v>
      </c>
      <c r="E266" s="307">
        <f t="shared" ca="1" si="125"/>
        <v>-10.796717882155221</v>
      </c>
      <c r="F266" s="304">
        <f t="shared" ca="1" si="126"/>
        <v>10.803989779777867</v>
      </c>
      <c r="G266" s="306">
        <f t="shared" ca="1" si="127"/>
        <v>19.998483999427275</v>
      </c>
      <c r="H266" s="307">
        <f t="shared" ca="1" si="128"/>
        <v>48.807862710744281</v>
      </c>
      <c r="I266" s="304">
        <f t="shared" ca="1" si="129"/>
        <v>52.746059802284861</v>
      </c>
      <c r="J266" s="306">
        <f t="shared" ca="1" si="130"/>
        <v>296.69725555648353</v>
      </c>
      <c r="K266" s="307">
        <f t="shared" ca="1" si="131"/>
        <v>1744.6541361123182</v>
      </c>
      <c r="L266" s="304">
        <f t="shared" ca="1" si="116"/>
        <v>1769.70260668525</v>
      </c>
      <c r="M266" s="306">
        <f t="shared" ca="1" si="132"/>
        <v>1.1819225710650101</v>
      </c>
      <c r="N266" s="304">
        <f t="shared" ca="1" si="133"/>
        <v>67.719175033276187</v>
      </c>
      <c r="P266" s="310">
        <f t="shared" ca="1" si="134"/>
        <v>23</v>
      </c>
      <c r="Q266" s="304">
        <f t="shared" ca="1" si="135"/>
        <v>0</v>
      </c>
      <c r="R266" s="306">
        <f t="shared" ca="1" si="136"/>
        <v>0</v>
      </c>
      <c r="S266" s="307">
        <f t="shared" ca="1" si="137"/>
        <v>4.0843000000000034</v>
      </c>
      <c r="T266" s="304">
        <f t="shared" ca="1" si="117"/>
        <v>40.066983000000036</v>
      </c>
      <c r="U266" s="311">
        <f t="shared" ca="1" si="118"/>
        <v>0</v>
      </c>
      <c r="V266" s="306">
        <f t="shared" ca="1" si="119"/>
        <v>1.0284274260367985</v>
      </c>
      <c r="W266" s="304">
        <f t="shared" ca="1" si="120"/>
        <v>4.1784172603656886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1744.6541361123182</v>
      </c>
      <c r="AG266" s="306">
        <f t="shared" ca="1" si="143"/>
        <v>-10.166457188479177</v>
      </c>
      <c r="AH266" s="304">
        <f t="shared" ca="1" si="144"/>
        <v>-1.063339227932069</v>
      </c>
    </row>
    <row r="267" spans="1:34" x14ac:dyDescent="0.2">
      <c r="A267" s="347">
        <f t="shared" ca="1" si="122"/>
        <v>0.1</v>
      </c>
      <c r="B267" s="304">
        <f t="shared" ca="1" si="123"/>
        <v>14.899999999999935</v>
      </c>
      <c r="D267" s="306">
        <f t="shared" ca="1" si="124"/>
        <v>-0.38788342744328891</v>
      </c>
      <c r="E267" s="307">
        <f t="shared" ca="1" si="125"/>
        <v>-10.756659810561999</v>
      </c>
      <c r="F267" s="304">
        <f t="shared" ca="1" si="126"/>
        <v>10.763651045692853</v>
      </c>
      <c r="G267" s="306">
        <f t="shared" ca="1" si="127"/>
        <v>19.959695656682946</v>
      </c>
      <c r="H267" s="307">
        <f t="shared" ca="1" si="128"/>
        <v>47.732196729688084</v>
      </c>
      <c r="I267" s="304">
        <f t="shared" ca="1" si="129"/>
        <v>51.737337149770802</v>
      </c>
      <c r="J267" s="306">
        <f t="shared" ca="1" si="130"/>
        <v>298.69516453928901</v>
      </c>
      <c r="K267" s="307">
        <f t="shared" ca="1" si="131"/>
        <v>1749.4811390843397</v>
      </c>
      <c r="L267" s="304">
        <f t="shared" ca="1" si="116"/>
        <v>1774.7966242166992</v>
      </c>
      <c r="M267" s="306">
        <f t="shared" ca="1" si="132"/>
        <v>1.1747334511456087</v>
      </c>
      <c r="N267" s="304">
        <f t="shared" ca="1" si="133"/>
        <v>67.307268803481065</v>
      </c>
      <c r="P267" s="310">
        <f t="shared" ca="1" si="134"/>
        <v>23</v>
      </c>
      <c r="Q267" s="304">
        <f t="shared" ca="1" si="135"/>
        <v>0</v>
      </c>
      <c r="R267" s="306">
        <f t="shared" ca="1" si="136"/>
        <v>0</v>
      </c>
      <c r="S267" s="307">
        <f t="shared" ca="1" si="137"/>
        <v>4.0843000000000034</v>
      </c>
      <c r="T267" s="304">
        <f t="shared" ca="1" si="117"/>
        <v>40.066983000000036</v>
      </c>
      <c r="U267" s="311">
        <f t="shared" ca="1" si="118"/>
        <v>0</v>
      </c>
      <c r="V267" s="306">
        <f t="shared" ca="1" si="119"/>
        <v>1.0279273083184419</v>
      </c>
      <c r="W267" s="304">
        <f t="shared" ca="1" si="120"/>
        <v>4.0181732671824424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1749.4811390843397</v>
      </c>
      <c r="AG267" s="306">
        <f t="shared" ca="1" si="143"/>
        <v>-10.100596286708413</v>
      </c>
      <c r="AH267" s="304">
        <f t="shared" ca="1" si="144"/>
        <v>-1.0230436697514103</v>
      </c>
    </row>
    <row r="268" spans="1:34" x14ac:dyDescent="0.2">
      <c r="A268" s="347">
        <f t="shared" ca="1" si="122"/>
        <v>0.1</v>
      </c>
      <c r="B268" s="304">
        <f t="shared" ca="1" si="123"/>
        <v>14.999999999999934</v>
      </c>
      <c r="D268" s="306">
        <f t="shared" ca="1" si="124"/>
        <v>-0.37954289693508952</v>
      </c>
      <c r="E268" s="307">
        <f t="shared" ca="1" si="125"/>
        <v>-10.717649922898282</v>
      </c>
      <c r="F268" s="304">
        <f t="shared" ca="1" si="126"/>
        <v>10.724368171618103</v>
      </c>
      <c r="G268" s="306">
        <f t="shared" ca="1" si="127"/>
        <v>19.921741366989437</v>
      </c>
      <c r="H268" s="307">
        <f t="shared" ca="1" si="128"/>
        <v>46.660431737398255</v>
      </c>
      <c r="I268" s="304">
        <f t="shared" ca="1" si="129"/>
        <v>50.735309883882849</v>
      </c>
      <c r="J268" s="306">
        <f t="shared" ca="1" si="130"/>
        <v>300.68923639047262</v>
      </c>
      <c r="K268" s="307">
        <f t="shared" ca="1" si="131"/>
        <v>1754.200770507694</v>
      </c>
      <c r="L268" s="304">
        <f t="shared" ca="1" si="116"/>
        <v>1779.7849196267712</v>
      </c>
      <c r="M268" s="306">
        <f t="shared" ca="1" si="132"/>
        <v>1.1672739023309051</v>
      </c>
      <c r="N268" s="304">
        <f t="shared" ca="1" si="133"/>
        <v>66.879868139326732</v>
      </c>
      <c r="P268" s="310">
        <f t="shared" ca="1" si="134"/>
        <v>23</v>
      </c>
      <c r="Q268" s="304">
        <f t="shared" ca="1" si="135"/>
        <v>0</v>
      </c>
      <c r="R268" s="306">
        <f t="shared" ca="1" si="136"/>
        <v>0</v>
      </c>
      <c r="S268" s="307">
        <f t="shared" ca="1" si="137"/>
        <v>4.0843000000000034</v>
      </c>
      <c r="T268" s="304">
        <f t="shared" ca="1" si="117"/>
        <v>40.066983000000036</v>
      </c>
      <c r="U268" s="311">
        <f t="shared" ca="1" si="118"/>
        <v>0</v>
      </c>
      <c r="V268" s="306">
        <f t="shared" ca="1" si="119"/>
        <v>1.0274385297771824</v>
      </c>
      <c r="W268" s="304">
        <f t="shared" ca="1" si="120"/>
        <v>3.8621985285148637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>
        <f t="shared" ca="1" si="141"/>
        <v>14.999999999999934</v>
      </c>
      <c r="AD268" s="323">
        <f t="shared" ca="1" si="142"/>
        <v>300.68923639047262</v>
      </c>
      <c r="AE268" s="324">
        <f t="shared" ca="1" si="121"/>
        <v>1754.200770507694</v>
      </c>
      <c r="AG268" s="306">
        <f t="shared" ca="1" si="143"/>
        <v>-10.034388391662464</v>
      </c>
      <c r="AH268" s="304">
        <f t="shared" ca="1" si="144"/>
        <v>-0.98380953093123402</v>
      </c>
    </row>
    <row r="269" spans="1:34" x14ac:dyDescent="0.2">
      <c r="A269" s="347">
        <f t="shared" ca="1" si="122"/>
        <v>0.1</v>
      </c>
      <c r="B269" s="304">
        <f t="shared" ca="1" si="123"/>
        <v>15.099999999999934</v>
      </c>
      <c r="D269" s="306">
        <f t="shared" ca="1" si="124"/>
        <v>-0.37130768668050379</v>
      </c>
      <c r="E269" s="307">
        <f t="shared" ca="1" si="125"/>
        <v>-10.679671814765916</v>
      </c>
      <c r="F269" s="304">
        <f t="shared" ca="1" si="126"/>
        <v>10.686124623514997</v>
      </c>
      <c r="G269" s="306">
        <f t="shared" ca="1" si="127"/>
        <v>19.884610598321387</v>
      </c>
      <c r="H269" s="307">
        <f t="shared" ca="1" si="128"/>
        <v>45.592464555921666</v>
      </c>
      <c r="I269" s="304">
        <f t="shared" ca="1" si="129"/>
        <v>49.740029784167291</v>
      </c>
      <c r="J269" s="306">
        <f t="shared" ca="1" si="130"/>
        <v>302.67955398873818</v>
      </c>
      <c r="K269" s="307">
        <f t="shared" ca="1" si="131"/>
        <v>1758.81341532236</v>
      </c>
      <c r="L269" s="304">
        <f t="shared" ca="1" si="116"/>
        <v>1784.6679081332543</v>
      </c>
      <c r="M269" s="306">
        <f t="shared" ca="1" si="132"/>
        <v>1.1595295645381045</v>
      </c>
      <c r="N269" s="304">
        <f t="shared" ca="1" si="133"/>
        <v>66.43615026867559</v>
      </c>
      <c r="P269" s="310">
        <f t="shared" ca="1" si="134"/>
        <v>23</v>
      </c>
      <c r="Q269" s="304">
        <f t="shared" ca="1" si="135"/>
        <v>0</v>
      </c>
      <c r="R269" s="306">
        <f t="shared" ca="1" si="136"/>
        <v>0</v>
      </c>
      <c r="S269" s="307">
        <f t="shared" ca="1" si="137"/>
        <v>4.0843000000000034</v>
      </c>
      <c r="T269" s="304">
        <f t="shared" ca="1" si="117"/>
        <v>40.066983000000036</v>
      </c>
      <c r="U269" s="311">
        <f t="shared" ca="1" si="118"/>
        <v>0</v>
      </c>
      <c r="V269" s="306">
        <f t="shared" ca="1" si="119"/>
        <v>1.0269610359586359</v>
      </c>
      <c r="W269" s="304">
        <f t="shared" ca="1" si="120"/>
        <v>3.7104292897054556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1758.81341532236</v>
      </c>
      <c r="AG269" s="306">
        <f t="shared" ca="1" si="143"/>
        <v>-9.9677166563040256</v>
      </c>
      <c r="AH269" s="304">
        <f t="shared" ca="1" si="144"/>
        <v>-0.94562067637413028</v>
      </c>
    </row>
    <row r="270" spans="1:34" x14ac:dyDescent="0.2">
      <c r="A270" s="347">
        <f t="shared" ca="1" si="122"/>
        <v>0.1</v>
      </c>
      <c r="B270" s="304">
        <f t="shared" ca="1" si="123"/>
        <v>15.199999999999934</v>
      </c>
      <c r="D270" s="306">
        <f t="shared" ca="1" si="124"/>
        <v>-0.36317636273375276</v>
      </c>
      <c r="E270" s="307">
        <f t="shared" ca="1" si="125"/>
        <v>-10.642709565199381</v>
      </c>
      <c r="F270" s="304">
        <f t="shared" ca="1" si="126"/>
        <v>10.648904354891863</v>
      </c>
      <c r="G270" s="306">
        <f t="shared" ca="1" si="127"/>
        <v>19.848292962048014</v>
      </c>
      <c r="H270" s="307">
        <f t="shared" ca="1" si="128"/>
        <v>44.528193599401725</v>
      </c>
      <c r="I270" s="304">
        <f t="shared" ca="1" si="129"/>
        <v>48.75156160302032</v>
      </c>
      <c r="J270" s="306">
        <f t="shared" ca="1" si="130"/>
        <v>304.66619916675666</v>
      </c>
      <c r="K270" s="307">
        <f t="shared" ca="1" si="131"/>
        <v>1763.3194482301262</v>
      </c>
      <c r="L270" s="304">
        <f t="shared" ca="1" si="116"/>
        <v>1789.4459951117035</v>
      </c>
      <c r="M270" s="306">
        <f t="shared" ca="1" si="132"/>
        <v>1.1514851172631955</v>
      </c>
      <c r="N270" s="304">
        <f t="shared" ca="1" si="133"/>
        <v>65.975237391307786</v>
      </c>
      <c r="P270" s="310">
        <f t="shared" ca="1" si="134"/>
        <v>23</v>
      </c>
      <c r="Q270" s="304">
        <f t="shared" ca="1" si="135"/>
        <v>0</v>
      </c>
      <c r="R270" s="306">
        <f t="shared" ca="1" si="136"/>
        <v>0</v>
      </c>
      <c r="S270" s="307">
        <f t="shared" ca="1" si="137"/>
        <v>4.0843000000000034</v>
      </c>
      <c r="T270" s="304">
        <f t="shared" ca="1" si="117"/>
        <v>40.066983000000036</v>
      </c>
      <c r="U270" s="311">
        <f t="shared" ca="1" si="118"/>
        <v>0</v>
      </c>
      <c r="V270" s="306">
        <f t="shared" ca="1" si="119"/>
        <v>1.0264947738813284</v>
      </c>
      <c r="W270" s="304">
        <f t="shared" ca="1" si="120"/>
        <v>3.5628038829142668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1763.3194482301262</v>
      </c>
      <c r="AG270" s="306">
        <f t="shared" ca="1" si="143"/>
        <v>-9.9004560575986567</v>
      </c>
      <c r="AH270" s="304">
        <f t="shared" ca="1" si="144"/>
        <v>-0.908461496389945</v>
      </c>
    </row>
    <row r="271" spans="1:34" x14ac:dyDescent="0.2">
      <c r="A271" s="347">
        <f t="shared" ca="1" si="122"/>
        <v>0.1</v>
      </c>
      <c r="B271" s="304">
        <f t="shared" ca="1" si="123"/>
        <v>15.299999999999933</v>
      </c>
      <c r="D271" s="306">
        <f t="shared" ca="1" si="124"/>
        <v>-0.35514762324148663</v>
      </c>
      <c r="E271" s="307">
        <f t="shared" ca="1" si="125"/>
        <v>-10.606747718017992</v>
      </c>
      <c r="F271" s="304">
        <f t="shared" ca="1" si="126"/>
        <v>10.612691788041994</v>
      </c>
      <c r="G271" s="306">
        <f t="shared" ca="1" si="127"/>
        <v>19.812778199723866</v>
      </c>
      <c r="H271" s="307">
        <f t="shared" ca="1" si="128"/>
        <v>43.467518827599925</v>
      </c>
      <c r="I271" s="304">
        <f t="shared" ca="1" si="129"/>
        <v>47.769984017363946</v>
      </c>
      <c r="J271" s="306">
        <f t="shared" ca="1" si="130"/>
        <v>306.64925272484527</v>
      </c>
      <c r="K271" s="307">
        <f t="shared" ca="1" si="131"/>
        <v>1767.7192338514762</v>
      </c>
      <c r="L271" s="304">
        <f t="shared" ca="1" si="116"/>
        <v>1794.1195762616148</v>
      </c>
      <c r="M271" s="306">
        <f t="shared" ca="1" si="132"/>
        <v>1.1431242062475837</v>
      </c>
      <c r="N271" s="304">
        <f t="shared" ca="1" si="133"/>
        <v>65.496192477228803</v>
      </c>
      <c r="P271" s="310">
        <f t="shared" ca="1" si="134"/>
        <v>23</v>
      </c>
      <c r="Q271" s="304">
        <f t="shared" ca="1" si="135"/>
        <v>0</v>
      </c>
      <c r="R271" s="306">
        <f t="shared" ca="1" si="136"/>
        <v>0</v>
      </c>
      <c r="S271" s="307">
        <f t="shared" ca="1" si="137"/>
        <v>4.0843000000000034</v>
      </c>
      <c r="T271" s="304">
        <f t="shared" ca="1" si="117"/>
        <v>40.066983000000036</v>
      </c>
      <c r="U271" s="311">
        <f t="shared" ca="1" si="118"/>
        <v>0</v>
      </c>
      <c r="V271" s="306">
        <f t="shared" ca="1" si="119"/>
        <v>1.0260396920132535</v>
      </c>
      <c r="W271" s="304">
        <f t="shared" ca="1" si="120"/>
        <v>3.4192626703383704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1767.7192338514762</v>
      </c>
      <c r="AG271" s="306">
        <f t="shared" ca="1" si="143"/>
        <v>-9.8324725230769321</v>
      </c>
      <c r="AH271" s="304">
        <f t="shared" ca="1" si="144"/>
        <v>-0.8723168922249257</v>
      </c>
    </row>
    <row r="272" spans="1:34" x14ac:dyDescent="0.2">
      <c r="A272" s="347">
        <f t="shared" ca="1" si="122"/>
        <v>0.1</v>
      </c>
      <c r="B272" s="304">
        <f t="shared" ca="1" si="123"/>
        <v>15.399999999999933</v>
      </c>
      <c r="D272" s="306">
        <f t="shared" ca="1" si="124"/>
        <v>-0.3472203034252575</v>
      </c>
      <c r="E272" s="307">
        <f t="shared" ca="1" si="125"/>
        <v>-10.571771263187749</v>
      </c>
      <c r="F272" s="304">
        <f t="shared" ca="1" si="126"/>
        <v>10.577471795295557</v>
      </c>
      <c r="G272" s="306">
        <f t="shared" ca="1" si="127"/>
        <v>19.77805616938134</v>
      </c>
      <c r="H272" s="307">
        <f t="shared" ca="1" si="128"/>
        <v>42.410341701281148</v>
      </c>
      <c r="I272" s="304">
        <f t="shared" ca="1" si="129"/>
        <v>46.79539068176085</v>
      </c>
      <c r="J272" s="306">
        <f t="shared" ca="1" si="130"/>
        <v>308.62879444330054</v>
      </c>
      <c r="K272" s="307">
        <f t="shared" ca="1" si="131"/>
        <v>1772.0131268779203</v>
      </c>
      <c r="L272" s="304">
        <f t="shared" ca="1" si="116"/>
        <v>1798.6890377681154</v>
      </c>
      <c r="M272" s="306">
        <f t="shared" ca="1" si="132"/>
        <v>1.1344293644620373</v>
      </c>
      <c r="N272" s="304">
        <f t="shared" ca="1" si="133"/>
        <v>64.998014739382995</v>
      </c>
      <c r="P272" s="310">
        <f t="shared" ca="1" si="134"/>
        <v>23</v>
      </c>
      <c r="Q272" s="304">
        <f t="shared" ca="1" si="135"/>
        <v>0</v>
      </c>
      <c r="R272" s="306">
        <f t="shared" ca="1" si="136"/>
        <v>0</v>
      </c>
      <c r="S272" s="307">
        <f t="shared" ca="1" si="137"/>
        <v>4.0843000000000034</v>
      </c>
      <c r="T272" s="304">
        <f t="shared" ca="1" si="117"/>
        <v>40.066983000000036</v>
      </c>
      <c r="U272" s="311">
        <f t="shared" ca="1" si="118"/>
        <v>0</v>
      </c>
      <c r="V272" s="306">
        <f t="shared" ca="1" si="119"/>
        <v>1.0255957402491491</v>
      </c>
      <c r="W272" s="304">
        <f t="shared" ca="1" si="120"/>
        <v>3.2797479896557427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1772.0131268779203</v>
      </c>
      <c r="AG272" s="306">
        <f t="shared" ca="1" si="143"/>
        <v>-9.763621966303436</v>
      </c>
      <c r="AH272" s="304">
        <f t="shared" ca="1" si="144"/>
        <v>-0.83717226215957874</v>
      </c>
    </row>
    <row r="273" spans="1:34" x14ac:dyDescent="0.2">
      <c r="A273" s="347">
        <f t="shared" ca="1" si="122"/>
        <v>0.1</v>
      </c>
      <c r="B273" s="304">
        <f t="shared" ca="1" si="123"/>
        <v>15.499999999999932</v>
      </c>
      <c r="D273" s="306">
        <f t="shared" ca="1" si="124"/>
        <v>-0.33939338131467972</v>
      </c>
      <c r="E273" s="307">
        <f t="shared" ca="1" si="125"/>
        <v>-10.537765618089001</v>
      </c>
      <c r="F273" s="304">
        <f t="shared" ca="1" si="126"/>
        <v>10.543229680181442</v>
      </c>
      <c r="G273" s="306">
        <f t="shared" ca="1" si="127"/>
        <v>19.744116831249872</v>
      </c>
      <c r="H273" s="307">
        <f t="shared" ca="1" si="128"/>
        <v>41.356565139472245</v>
      </c>
      <c r="I273" s="304">
        <f t="shared" ca="1" si="129"/>
        <v>45.827891393576635</v>
      </c>
      <c r="J273" s="306">
        <f t="shared" ca="1" si="130"/>
        <v>310.6049030933321</v>
      </c>
      <c r="K273" s="307">
        <f t="shared" ca="1" si="131"/>
        <v>1776.2014722199579</v>
      </c>
      <c r="L273" s="304">
        <f t="shared" ca="1" si="116"/>
        <v>1803.1547564593461</v>
      </c>
      <c r="M273" s="306">
        <f t="shared" ca="1" si="132"/>
        <v>1.1253819270872998</v>
      </c>
      <c r="N273" s="304">
        <f t="shared" ca="1" si="133"/>
        <v>64.479634762401616</v>
      </c>
      <c r="P273" s="310">
        <f t="shared" ca="1" si="134"/>
        <v>23</v>
      </c>
      <c r="Q273" s="304">
        <f t="shared" ca="1" si="135"/>
        <v>0</v>
      </c>
      <c r="R273" s="306">
        <f t="shared" ca="1" si="136"/>
        <v>0</v>
      </c>
      <c r="S273" s="307">
        <f t="shared" ca="1" si="137"/>
        <v>4.0843000000000034</v>
      </c>
      <c r="T273" s="304">
        <f t="shared" ca="1" si="117"/>
        <v>40.066983000000036</v>
      </c>
      <c r="U273" s="311">
        <f t="shared" ca="1" si="118"/>
        <v>0</v>
      </c>
      <c r="V273" s="306">
        <f t="shared" ca="1" si="119"/>
        <v>1.0251628698884709</v>
      </c>
      <c r="W273" s="304">
        <f t="shared" ca="1" si="120"/>
        <v>3.1442041015991418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1776.2014722199579</v>
      </c>
      <c r="AG273" s="306">
        <f t="shared" ca="1" si="143"/>
        <v>-9.6937492214832695</v>
      </c>
      <c r="AH273" s="304">
        <f t="shared" ca="1" si="144"/>
        <v>-0.80301348815114948</v>
      </c>
    </row>
    <row r="274" spans="1:34" x14ac:dyDescent="0.2">
      <c r="A274" s="347">
        <f t="shared" ca="1" si="122"/>
        <v>0.1</v>
      </c>
      <c r="B274" s="304">
        <f t="shared" ca="1" si="123"/>
        <v>15.599999999999932</v>
      </c>
      <c r="D274" s="306">
        <f t="shared" ca="1" si="124"/>
        <v>-0.3316659843013598</v>
      </c>
      <c r="E274" s="307">
        <f t="shared" ca="1" si="125"/>
        <v>-10.50471660857459</v>
      </c>
      <c r="F274" s="304">
        <f t="shared" ca="1" si="126"/>
        <v>10.509951158383441</v>
      </c>
      <c r="G274" s="306">
        <f t="shared" ca="1" si="127"/>
        <v>19.710950232819737</v>
      </c>
      <c r="H274" s="307">
        <f t="shared" ca="1" si="128"/>
        <v>40.306093478614784</v>
      </c>
      <c r="I274" s="304">
        <f t="shared" ca="1" si="129"/>
        <v>44.867613381898636</v>
      </c>
      <c r="J274" s="306">
        <f t="shared" ca="1" si="130"/>
        <v>312.57765644653557</v>
      </c>
      <c r="K274" s="307">
        <f t="shared" ca="1" si="131"/>
        <v>1780.2846051508623</v>
      </c>
      <c r="L274" s="304">
        <f t="shared" ca="1" si="116"/>
        <v>1807.5170999597128</v>
      </c>
      <c r="M274" s="306">
        <f t="shared" ca="1" si="132"/>
        <v>1.1159619401973453</v>
      </c>
      <c r="N274" s="304">
        <f t="shared" ca="1" si="133"/>
        <v>63.939909270538656</v>
      </c>
      <c r="P274" s="310">
        <f t="shared" ca="1" si="134"/>
        <v>23</v>
      </c>
      <c r="Q274" s="304">
        <f t="shared" ca="1" si="135"/>
        <v>0</v>
      </c>
      <c r="R274" s="306">
        <f t="shared" ca="1" si="136"/>
        <v>0</v>
      </c>
      <c r="S274" s="307">
        <f t="shared" ca="1" si="137"/>
        <v>4.0843000000000034</v>
      </c>
      <c r="T274" s="304">
        <f t="shared" ca="1" si="117"/>
        <v>40.066983000000036</v>
      </c>
      <c r="U274" s="311">
        <f t="shared" ca="1" si="118"/>
        <v>0</v>
      </c>
      <c r="V274" s="306">
        <f t="shared" ca="1" si="119"/>
        <v>1.0247410336140372</v>
      </c>
      <c r="W274" s="304">
        <f t="shared" ca="1" si="120"/>
        <v>3.0125771395690144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1780.2846051508623</v>
      </c>
      <c r="AG274" s="306">
        <f t="shared" ca="1" si="143"/>
        <v>-9.6226868666058376</v>
      </c>
      <c r="AH274" s="304">
        <f t="shared" ca="1" si="144"/>
        <v>-0.76982692299761013</v>
      </c>
    </row>
    <row r="275" spans="1:34" x14ac:dyDescent="0.2">
      <c r="A275" s="347">
        <f t="shared" ca="1" si="122"/>
        <v>0.1</v>
      </c>
      <c r="B275" s="304">
        <f t="shared" ca="1" si="123"/>
        <v>15.699999999999932</v>
      </c>
      <c r="D275" s="306">
        <f t="shared" ca="1" si="124"/>
        <v>-0.32403739659127367</v>
      </c>
      <c r="E275" s="307">
        <f t="shared" ca="1" si="125"/>
        <v>-10.472610449689441</v>
      </c>
      <c r="F275" s="304">
        <f t="shared" ca="1" si="126"/>
        <v>10.477622338361606</v>
      </c>
      <c r="G275" s="306">
        <f t="shared" ca="1" si="127"/>
        <v>19.67854649316061</v>
      </c>
      <c r="H275" s="307">
        <f t="shared" ca="1" si="128"/>
        <v>39.258832433645843</v>
      </c>
      <c r="I275" s="304">
        <f t="shared" ca="1" si="129"/>
        <v>43.914702733100292</v>
      </c>
      <c r="J275" s="306">
        <f t="shared" ca="1" si="130"/>
        <v>314.54713128283458</v>
      </c>
      <c r="K275" s="307">
        <f t="shared" ca="1" si="131"/>
        <v>1784.2628514464752</v>
      </c>
      <c r="L275" s="304">
        <f t="shared" ca="1" si="116"/>
        <v>1811.7764268391857</v>
      </c>
      <c r="M275" s="306">
        <f t="shared" ca="1" si="132"/>
        <v>1.106148062895927</v>
      </c>
      <c r="N275" s="304">
        <f t="shared" ca="1" si="133"/>
        <v>63.377615520508151</v>
      </c>
      <c r="P275" s="310">
        <f t="shared" ca="1" si="134"/>
        <v>23</v>
      </c>
      <c r="Q275" s="304">
        <f t="shared" ca="1" si="135"/>
        <v>0</v>
      </c>
      <c r="R275" s="306">
        <f t="shared" ca="1" si="136"/>
        <v>0</v>
      </c>
      <c r="S275" s="307">
        <f t="shared" ca="1" si="137"/>
        <v>4.0843000000000034</v>
      </c>
      <c r="T275" s="304">
        <f t="shared" ca="1" si="117"/>
        <v>40.066983000000036</v>
      </c>
      <c r="U275" s="311">
        <f t="shared" ca="1" si="118"/>
        <v>0</v>
      </c>
      <c r="V275" s="306">
        <f t="shared" ca="1" si="119"/>
        <v>1.0243301854713163</v>
      </c>
      <c r="W275" s="304">
        <f t="shared" ca="1" si="120"/>
        <v>2.8848150611975978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1784.2628514464752</v>
      </c>
      <c r="AG275" s="306">
        <f t="shared" ca="1" si="143"/>
        <v>-9.5502539237122921</v>
      </c>
      <c r="AH275" s="304">
        <f t="shared" ca="1" si="144"/>
        <v>-0.73759937800088438</v>
      </c>
    </row>
    <row r="276" spans="1:34" x14ac:dyDescent="0.2">
      <c r="A276" s="347">
        <f t="shared" ca="1" si="122"/>
        <v>0.1</v>
      </c>
      <c r="B276" s="304">
        <f t="shared" ca="1" si="123"/>
        <v>15.799999999999931</v>
      </c>
      <c r="D276" s="306">
        <f t="shared" ca="1" si="124"/>
        <v>-0.31650706764137521</v>
      </c>
      <c r="E276" s="307">
        <f t="shared" ca="1" si="125"/>
        <v>-10.441433725906331</v>
      </c>
      <c r="F276" s="304">
        <f t="shared" ca="1" si="126"/>
        <v>10.446229701493314</v>
      </c>
      <c r="G276" s="306">
        <f t="shared" ca="1" si="127"/>
        <v>19.646895786396474</v>
      </c>
      <c r="H276" s="307">
        <f t="shared" ca="1" si="128"/>
        <v>38.214689061055211</v>
      </c>
      <c r="I276" s="304">
        <f t="shared" ca="1" si="129"/>
        <v>42.969325967190322</v>
      </c>
      <c r="J276" s="306">
        <f t="shared" ca="1" si="130"/>
        <v>316.51340339681246</v>
      </c>
      <c r="K276" s="307">
        <f t="shared" ca="1" si="131"/>
        <v>1788.1365275212104</v>
      </c>
      <c r="L276" s="304">
        <f t="shared" ca="1" si="116"/>
        <v>1815.9330867588283</v>
      </c>
      <c r="M276" s="306">
        <f t="shared" ca="1" si="132"/>
        <v>1.095917462725561</v>
      </c>
      <c r="N276" s="304">
        <f t="shared" ca="1" si="133"/>
        <v>62.791445308860361</v>
      </c>
      <c r="P276" s="310">
        <f t="shared" ca="1" si="134"/>
        <v>23</v>
      </c>
      <c r="Q276" s="304">
        <f t="shared" ca="1" si="135"/>
        <v>0</v>
      </c>
      <c r="R276" s="306">
        <f t="shared" ca="1" si="136"/>
        <v>0</v>
      </c>
      <c r="S276" s="307">
        <f t="shared" ca="1" si="137"/>
        <v>4.0843000000000034</v>
      </c>
      <c r="T276" s="304">
        <f t="shared" ca="1" si="117"/>
        <v>40.066983000000036</v>
      </c>
      <c r="U276" s="311">
        <f t="shared" ca="1" si="118"/>
        <v>0</v>
      </c>
      <c r="V276" s="306">
        <f t="shared" ca="1" si="119"/>
        <v>1.0239302808483284</v>
      </c>
      <c r="W276" s="304">
        <f t="shared" ca="1" si="120"/>
        <v>2.7608676017792679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1788.1365275212104</v>
      </c>
      <c r="AG276" s="306">
        <f t="shared" ca="1" si="143"/>
        <v>-9.4762544241180287</v>
      </c>
      <c r="AH276" s="304">
        <f t="shared" ca="1" si="144"/>
        <v>-0.70631811110780196</v>
      </c>
    </row>
    <row r="277" spans="1:34" x14ac:dyDescent="0.2">
      <c r="A277" s="347">
        <f t="shared" ca="1" si="122"/>
        <v>0.1</v>
      </c>
      <c r="B277" s="304">
        <f t="shared" ca="1" si="123"/>
        <v>15.899999999999931</v>
      </c>
      <c r="D277" s="306">
        <f t="shared" ca="1" si="124"/>
        <v>-0.30907462167480759</v>
      </c>
      <c r="E277" s="307">
        <f t="shared" ca="1" si="125"/>
        <v>-10.411173370713563</v>
      </c>
      <c r="F277" s="304">
        <f t="shared" ca="1" si="126"/>
        <v>10.415760081569594</v>
      </c>
      <c r="G277" s="306">
        <f t="shared" ca="1" si="127"/>
        <v>19.615988324228994</v>
      </c>
      <c r="H277" s="307">
        <f t="shared" ca="1" si="128"/>
        <v>37.173571723983855</v>
      </c>
      <c r="I277" s="304">
        <f t="shared" ca="1" si="129"/>
        <v>42.031671780390326</v>
      </c>
      <c r="J277" s="306">
        <f t="shared" ca="1" si="130"/>
        <v>318.47654760234371</v>
      </c>
      <c r="K277" s="307">
        <f t="shared" ca="1" si="131"/>
        <v>1791.9059405604623</v>
      </c>
      <c r="L277" s="304">
        <f t="shared" ca="1" si="116"/>
        <v>1819.9874206127313</v>
      </c>
      <c r="M277" s="306">
        <f t="shared" ca="1" si="132"/>
        <v>1.0852457042677919</v>
      </c>
      <c r="N277" s="304">
        <f t="shared" ca="1" si="133"/>
        <v>62.179998589247148</v>
      </c>
      <c r="P277" s="310">
        <f t="shared" ca="1" si="134"/>
        <v>23</v>
      </c>
      <c r="Q277" s="304">
        <f t="shared" ca="1" si="135"/>
        <v>0</v>
      </c>
      <c r="R277" s="306">
        <f t="shared" ca="1" si="136"/>
        <v>0</v>
      </c>
      <c r="S277" s="307">
        <f t="shared" ca="1" si="137"/>
        <v>4.0843000000000034</v>
      </c>
      <c r="T277" s="304">
        <f t="shared" ca="1" si="117"/>
        <v>40.066983000000036</v>
      </c>
      <c r="U277" s="311">
        <f t="shared" ca="1" si="118"/>
        <v>0</v>
      </c>
      <c r="V277" s="306">
        <f t="shared" ca="1" si="119"/>
        <v>1.0235412764561416</v>
      </c>
      <c r="W277" s="304">
        <f t="shared" ca="1" si="120"/>
        <v>2.6406862294846118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1791.9059405604623</v>
      </c>
      <c r="AG277" s="306">
        <f t="shared" ca="1" si="143"/>
        <v>-9.4004758257843832</v>
      </c>
      <c r="AH277" s="304">
        <f t="shared" ca="1" si="144"/>
        <v>-0.67597081550798566</v>
      </c>
    </row>
    <row r="278" spans="1:34" x14ac:dyDescent="0.2">
      <c r="A278" s="347">
        <f t="shared" ca="1" si="122"/>
        <v>0.1</v>
      </c>
      <c r="B278" s="304">
        <f t="shared" ca="1" si="123"/>
        <v>15.999999999999931</v>
      </c>
      <c r="D278" s="306">
        <f t="shared" ca="1" si="124"/>
        <v>-0.3017398683779966</v>
      </c>
      <c r="E278" s="307">
        <f t="shared" ca="1" si="125"/>
        <v>-10.381816645367818</v>
      </c>
      <c r="F278" s="304">
        <f t="shared" ca="1" si="126"/>
        <v>10.386200643459814</v>
      </c>
      <c r="G278" s="306">
        <f t="shared" ca="1" si="127"/>
        <v>19.585814337391195</v>
      </c>
      <c r="H278" s="307">
        <f t="shared" ca="1" si="128"/>
        <v>36.135390059447076</v>
      </c>
      <c r="I278" s="304">
        <f t="shared" ca="1" si="129"/>
        <v>41.101952970718379</v>
      </c>
      <c r="J278" s="306">
        <f t="shared" ca="1" si="130"/>
        <v>320.43663773542471</v>
      </c>
      <c r="K278" s="307">
        <f t="shared" ca="1" si="131"/>
        <v>1795.5713886496339</v>
      </c>
      <c r="L278" s="304">
        <f t="shared" ca="1" si="116"/>
        <v>1823.939760666552</v>
      </c>
      <c r="M278" s="306">
        <f t="shared" ca="1" si="132"/>
        <v>1.0741066309937422</v>
      </c>
      <c r="N278" s="304">
        <f t="shared" ca="1" si="133"/>
        <v>61.541776702957129</v>
      </c>
      <c r="P278" s="310">
        <f t="shared" ca="1" si="134"/>
        <v>23</v>
      </c>
      <c r="Q278" s="304">
        <f t="shared" ca="1" si="135"/>
        <v>0</v>
      </c>
      <c r="R278" s="306">
        <f t="shared" ca="1" si="136"/>
        <v>0</v>
      </c>
      <c r="S278" s="307">
        <f t="shared" ca="1" si="137"/>
        <v>4.0843000000000034</v>
      </c>
      <c r="T278" s="304">
        <f t="shared" ca="1" si="117"/>
        <v>40.066983000000036</v>
      </c>
      <c r="U278" s="311">
        <f t="shared" ca="1" si="118"/>
        <v>0</v>
      </c>
      <c r="V278" s="306">
        <f t="shared" ca="1" si="119"/>
        <v>1.0231631303099249</v>
      </c>
      <c r="W278" s="304">
        <f t="shared" ca="1" si="120"/>
        <v>2.5242241022778078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>
        <f t="shared" ca="1" si="141"/>
        <v>15.999999999999931</v>
      </c>
      <c r="AD278" s="323">
        <f t="shared" ca="1" si="142"/>
        <v>320.43663773542471</v>
      </c>
      <c r="AE278" s="324">
        <f t="shared" ca="1" si="121"/>
        <v>1795.5713886496339</v>
      </c>
      <c r="AG278" s="306">
        <f t="shared" ca="1" si="143"/>
        <v>-9.3226872695961163</v>
      </c>
      <c r="AH278" s="304">
        <f t="shared" ca="1" si="144"/>
        <v>-0.64654560866846456</v>
      </c>
    </row>
    <row r="279" spans="1:34" x14ac:dyDescent="0.2">
      <c r="A279" s="347">
        <f t="shared" ca="1" si="122"/>
        <v>0.1</v>
      </c>
      <c r="B279" s="304">
        <f t="shared" ca="1" si="123"/>
        <v>16.09999999999993</v>
      </c>
      <c r="D279" s="306">
        <f t="shared" ca="1" si="124"/>
        <v>-0.29450281489200969</v>
      </c>
      <c r="E279" s="307">
        <f t="shared" ca="1" si="125"/>
        <v>-10.353351116599292</v>
      </c>
      <c r="F279" s="304">
        <f t="shared" ca="1" si="126"/>
        <v>10.35753886073169</v>
      </c>
      <c r="G279" s="306">
        <f t="shared" ca="1" si="127"/>
        <v>19.556364055901994</v>
      </c>
      <c r="H279" s="307">
        <f t="shared" ca="1" si="128"/>
        <v>35.100054947787143</v>
      </c>
      <c r="I279" s="304">
        <f t="shared" ca="1" si="129"/>
        <v>40.180408564680526</v>
      </c>
      <c r="J279" s="306">
        <f t="shared" ca="1" si="130"/>
        <v>322.39374665508939</v>
      </c>
      <c r="K279" s="307">
        <f t="shared" ca="1" si="131"/>
        <v>1799.1331608999956</v>
      </c>
      <c r="L279" s="304">
        <f t="shared" ca="1" si="116"/>
        <v>1827.7904306928394</v>
      </c>
      <c r="M279" s="306">
        <f t="shared" ca="1" si="132"/>
        <v>1.0624722406162845</v>
      </c>
      <c r="N279" s="304">
        <f t="shared" ca="1" si="133"/>
        <v>60.875175237121191</v>
      </c>
      <c r="P279" s="310">
        <f t="shared" ca="1" si="134"/>
        <v>23</v>
      </c>
      <c r="Q279" s="304">
        <f t="shared" ca="1" si="135"/>
        <v>0</v>
      </c>
      <c r="R279" s="306">
        <f t="shared" ca="1" si="136"/>
        <v>0</v>
      </c>
      <c r="S279" s="307">
        <f t="shared" ca="1" si="137"/>
        <v>4.0843000000000034</v>
      </c>
      <c r="T279" s="304">
        <f t="shared" ca="1" si="117"/>
        <v>40.066983000000036</v>
      </c>
      <c r="U279" s="311">
        <f t="shared" ca="1" si="118"/>
        <v>0</v>
      </c>
      <c r="V279" s="306">
        <f t="shared" ca="1" si="119"/>
        <v>1.0227958017105387</v>
      </c>
      <c r="W279" s="304">
        <f t="shared" ca="1" si="120"/>
        <v>2.4114360264586172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1799.1331608999956</v>
      </c>
      <c r="AG279" s="306">
        <f t="shared" ca="1" si="143"/>
        <v>-9.2426376611758769</v>
      </c>
      <c r="AH279" s="304">
        <f t="shared" ca="1" si="144"/>
        <v>-0.61803102178532565</v>
      </c>
    </row>
    <row r="280" spans="1:34" x14ac:dyDescent="0.2">
      <c r="A280" s="347">
        <f t="shared" ca="1" si="122"/>
        <v>0.1</v>
      </c>
      <c r="B280" s="304">
        <f t="shared" ca="1" si="123"/>
        <v>16.199999999999932</v>
      </c>
      <c r="D280" s="306">
        <f t="shared" ca="1" si="124"/>
        <v>-0.28736367921954853</v>
      </c>
      <c r="E280" s="307">
        <f t="shared" ca="1" si="125"/>
        <v>-10.325764633025452</v>
      </c>
      <c r="F280" s="304">
        <f t="shared" ca="1" si="126"/>
        <v>10.329762491982759</v>
      </c>
      <c r="G280" s="306">
        <f t="shared" ca="1" si="127"/>
        <v>19.52762768798004</v>
      </c>
      <c r="H280" s="307">
        <f t="shared" ca="1" si="128"/>
        <v>34.067478484484596</v>
      </c>
      <c r="I280" s="304">
        <f t="shared" ca="1" si="129"/>
        <v>39.267306164431318</v>
      </c>
      <c r="J280" s="306">
        <f t="shared" ca="1" si="130"/>
        <v>324.34794624228351</v>
      </c>
      <c r="K280" s="307">
        <f t="shared" ca="1" si="131"/>
        <v>1802.5915375716093</v>
      </c>
      <c r="L280" s="304">
        <f t="shared" ca="1" si="116"/>
        <v>1831.5397461033615</v>
      </c>
      <c r="M280" s="306">
        <f t="shared" ca="1" si="132"/>
        <v>1.0503125544542224</v>
      </c>
      <c r="N280" s="304">
        <f t="shared" ca="1" si="133"/>
        <v>60.178476539831401</v>
      </c>
      <c r="P280" s="310">
        <f t="shared" ca="1" si="134"/>
        <v>23</v>
      </c>
      <c r="Q280" s="304">
        <f t="shared" ca="1" si="135"/>
        <v>0</v>
      </c>
      <c r="R280" s="306">
        <f t="shared" ca="1" si="136"/>
        <v>0</v>
      </c>
      <c r="S280" s="307">
        <f t="shared" ca="1" si="137"/>
        <v>4.0843000000000034</v>
      </c>
      <c r="T280" s="304">
        <f t="shared" ca="1" si="117"/>
        <v>40.066983000000036</v>
      </c>
      <c r="U280" s="311">
        <f t="shared" ca="1" si="118"/>
        <v>0</v>
      </c>
      <c r="V280" s="306">
        <f t="shared" ca="1" si="119"/>
        <v>1.02243925122663</v>
      </c>
      <c r="W280" s="304">
        <f t="shared" ca="1" si="120"/>
        <v>2.3022784167515944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1802.5915375716093</v>
      </c>
      <c r="AG280" s="306">
        <f t="shared" ca="1" si="143"/>
        <v>-9.1600535652068924</v>
      </c>
      <c r="AH280" s="304">
        <f t="shared" ca="1" si="144"/>
        <v>-0.59041598963313546</v>
      </c>
    </row>
    <row r="281" spans="1:34" x14ac:dyDescent="0.2">
      <c r="A281" s="347">
        <f t="shared" ca="1" si="122"/>
        <v>0.1</v>
      </c>
      <c r="B281" s="304">
        <f t="shared" ca="1" si="123"/>
        <v>16.299999999999933</v>
      </c>
      <c r="D281" s="306">
        <f t="shared" ca="1" si="124"/>
        <v>-0.28032290517745562</v>
      </c>
      <c r="E281" s="307">
        <f t="shared" ca="1" si="125"/>
        <v>-10.299045299994095</v>
      </c>
      <c r="F281" s="304">
        <f t="shared" ca="1" si="126"/>
        <v>10.302859555603851</v>
      </c>
      <c r="G281" s="306">
        <f t="shared" ca="1" si="127"/>
        <v>19.499595397462294</v>
      </c>
      <c r="H281" s="307">
        <f t="shared" ca="1" si="128"/>
        <v>33.03757395448519</v>
      </c>
      <c r="I281" s="304">
        <f t="shared" ca="1" si="129"/>
        <v>38.362944535877467</v>
      </c>
      <c r="J281" s="306">
        <f t="shared" ca="1" si="130"/>
        <v>326.29930739655561</v>
      </c>
      <c r="K281" s="307">
        <f t="shared" ca="1" si="131"/>
        <v>1805.9467901935577</v>
      </c>
      <c r="L281" s="304">
        <f t="shared" ca="1" si="116"/>
        <v>1835.1880140786354</v>
      </c>
      <c r="M281" s="306">
        <f t="shared" ca="1" si="132"/>
        <v>1.0375954816627313</v>
      </c>
      <c r="N281" s="304">
        <f t="shared" ca="1" si="133"/>
        <v>59.449841941118308</v>
      </c>
      <c r="P281" s="310">
        <f t="shared" ca="1" si="134"/>
        <v>23</v>
      </c>
      <c r="Q281" s="304">
        <f t="shared" ca="1" si="135"/>
        <v>0</v>
      </c>
      <c r="R281" s="306">
        <f t="shared" ca="1" si="136"/>
        <v>0</v>
      </c>
      <c r="S281" s="307">
        <f t="shared" ca="1" si="137"/>
        <v>4.0843000000000034</v>
      </c>
      <c r="T281" s="304">
        <f t="shared" ca="1" si="117"/>
        <v>40.066983000000036</v>
      </c>
      <c r="U281" s="311">
        <f t="shared" ca="1" si="118"/>
        <v>0</v>
      </c>
      <c r="V281" s="306">
        <f t="shared" ca="1" si="119"/>
        <v>1.0220934406772006</v>
      </c>
      <c r="W281" s="304">
        <f t="shared" ca="1" si="120"/>
        <v>2.1967092578659484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1805.9467901935577</v>
      </c>
      <c r="AG281" s="306">
        <f t="shared" ca="1" si="143"/>
        <v>-9.0746369002458387</v>
      </c>
      <c r="AH281" s="304">
        <f t="shared" ca="1" si="144"/>
        <v>-0.56368984079318185</v>
      </c>
    </row>
    <row r="282" spans="1:34" x14ac:dyDescent="0.2">
      <c r="A282" s="347">
        <f t="shared" ca="1" si="122"/>
        <v>0.1</v>
      </c>
      <c r="B282" s="304">
        <f t="shared" ca="1" si="123"/>
        <v>16.399999999999935</v>
      </c>
      <c r="D282" s="306">
        <f t="shared" ca="1" si="124"/>
        <v>-0.27338117903207321</v>
      </c>
      <c r="E282" s="307">
        <f t="shared" ca="1" si="125"/>
        <v>-10.273181452534748</v>
      </c>
      <c r="F282" s="304">
        <f t="shared" ca="1" si="126"/>
        <v>10.276818302653449</v>
      </c>
      <c r="G282" s="306">
        <f t="shared" ca="1" si="127"/>
        <v>19.472257279559088</v>
      </c>
      <c r="H282" s="307">
        <f t="shared" ca="1" si="128"/>
        <v>32.010255809231715</v>
      </c>
      <c r="I282" s="304">
        <f t="shared" ca="1" si="129"/>
        <v>37.467656459055384</v>
      </c>
      <c r="J282" s="306">
        <f t="shared" ca="1" si="130"/>
        <v>328.2479000304067</v>
      </c>
      <c r="K282" s="307">
        <f t="shared" ca="1" si="131"/>
        <v>1809.1991816817435</v>
      </c>
      <c r="L282" s="304">
        <f t="shared" ca="1" si="116"/>
        <v>1838.7355336948983</v>
      </c>
      <c r="M282" s="306">
        <f t="shared" ca="1" si="132"/>
        <v>1.0242866796352343</v>
      </c>
      <c r="N282" s="304">
        <f t="shared" ca="1" si="133"/>
        <v>58.687303754567573</v>
      </c>
      <c r="P282" s="310">
        <f t="shared" ca="1" si="134"/>
        <v>23</v>
      </c>
      <c r="Q282" s="304">
        <f t="shared" ca="1" si="135"/>
        <v>0</v>
      </c>
      <c r="R282" s="306">
        <f t="shared" ca="1" si="136"/>
        <v>0</v>
      </c>
      <c r="S282" s="307">
        <f t="shared" ca="1" si="137"/>
        <v>4.0843000000000034</v>
      </c>
      <c r="T282" s="304">
        <f t="shared" ca="1" si="117"/>
        <v>40.066983000000036</v>
      </c>
      <c r="U282" s="311">
        <f t="shared" ca="1" si="118"/>
        <v>0</v>
      </c>
      <c r="V282" s="306">
        <f t="shared" ca="1" si="119"/>
        <v>1.0217583331146198</v>
      </c>
      <c r="W282" s="304">
        <f t="shared" ca="1" si="120"/>
        <v>2.0946880674499178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1809.1991816817435</v>
      </c>
      <c r="AG282" s="306">
        <f t="shared" ca="1" si="143"/>
        <v>-8.9860624239615348</v>
      </c>
      <c r="AH282" s="304">
        <f t="shared" ca="1" si="144"/>
        <v>-0.53784228824179092</v>
      </c>
    </row>
    <row r="283" spans="1:34" x14ac:dyDescent="0.2">
      <c r="A283" s="347">
        <f t="shared" ca="1" si="122"/>
        <v>0.1</v>
      </c>
      <c r="B283" s="304">
        <f t="shared" ca="1" si="123"/>
        <v>16.499999999999936</v>
      </c>
      <c r="D283" s="306">
        <f t="shared" ca="1" si="124"/>
        <v>-0.26653944796044671</v>
      </c>
      <c r="E283" s="307">
        <f t="shared" ca="1" si="125"/>
        <v>-10.248161626049473</v>
      </c>
      <c r="F283" s="304">
        <f t="shared" ca="1" si="126"/>
        <v>10.251627187473805</v>
      </c>
      <c r="G283" s="306">
        <f t="shared" ca="1" si="127"/>
        <v>19.445603334763042</v>
      </c>
      <c r="H283" s="307">
        <f t="shared" ca="1" si="128"/>
        <v>30.985439646626769</v>
      </c>
      <c r="I283" s="304">
        <f t="shared" ca="1" si="129"/>
        <v>36.581811862559483</v>
      </c>
      <c r="J283" s="306">
        <f t="shared" ca="1" si="130"/>
        <v>330.19379306112279</v>
      </c>
      <c r="K283" s="307">
        <f t="shared" ca="1" si="131"/>
        <v>1812.3489664545364</v>
      </c>
      <c r="L283" s="304">
        <f t="shared" ca="1" si="116"/>
        <v>1842.1825960487515</v>
      </c>
      <c r="M283" s="306">
        <f t="shared" ca="1" si="132"/>
        <v>1.010349412466965</v>
      </c>
      <c r="N283" s="304">
        <f t="shared" ca="1" si="133"/>
        <v>57.88875716787949</v>
      </c>
      <c r="P283" s="310">
        <f t="shared" ca="1" si="134"/>
        <v>23</v>
      </c>
      <c r="Q283" s="304">
        <f t="shared" ca="1" si="135"/>
        <v>0</v>
      </c>
      <c r="R283" s="306">
        <f t="shared" ca="1" si="136"/>
        <v>0</v>
      </c>
      <c r="S283" s="307">
        <f t="shared" ca="1" si="137"/>
        <v>4.0843000000000034</v>
      </c>
      <c r="T283" s="304">
        <f t="shared" ca="1" si="117"/>
        <v>40.066983000000036</v>
      </c>
      <c r="U283" s="311">
        <f t="shared" ca="1" si="118"/>
        <v>0</v>
      </c>
      <c r="V283" s="306">
        <f t="shared" ca="1" si="119"/>
        <v>1.0214338928080449</v>
      </c>
      <c r="W283" s="304">
        <f t="shared" ca="1" si="120"/>
        <v>1.9961758603633033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1812.3489664545364</v>
      </c>
      <c r="AG283" s="306">
        <f t="shared" ca="1" si="143"/>
        <v>-8.8939750019912136</v>
      </c>
      <c r="AH283" s="304">
        <f t="shared" ca="1" si="144"/>
        <v>-0.51286342028007637</v>
      </c>
    </row>
    <row r="284" spans="1:34" x14ac:dyDescent="0.2">
      <c r="A284" s="347">
        <f t="shared" ca="1" si="122"/>
        <v>0.1</v>
      </c>
      <c r="B284" s="304">
        <f t="shared" ca="1" si="123"/>
        <v>16.599999999999937</v>
      </c>
      <c r="D284" s="306">
        <f t="shared" ca="1" si="124"/>
        <v>-0.25979894048314056</v>
      </c>
      <c r="E284" s="307">
        <f t="shared" ca="1" si="125"/>
        <v>-10.223974524318663</v>
      </c>
      <c r="F284" s="304">
        <f t="shared" ca="1" si="126"/>
        <v>10.227274835624259</v>
      </c>
      <c r="G284" s="306">
        <f t="shared" ca="1" si="127"/>
        <v>19.419623440714727</v>
      </c>
      <c r="H284" s="307">
        <f t="shared" ca="1" si="128"/>
        <v>29.963042194194902</v>
      </c>
      <c r="I284" s="304">
        <f t="shared" ca="1" si="129"/>
        <v>35.705821263629559</v>
      </c>
      <c r="J284" s="306">
        <f t="shared" ca="1" si="130"/>
        <v>332.13705439989667</v>
      </c>
      <c r="K284" s="307">
        <f t="shared" ca="1" si="131"/>
        <v>1815.3963905465775</v>
      </c>
      <c r="L284" s="304">
        <f t="shared" ca="1" si="116"/>
        <v>1845.529484379749</v>
      </c>
      <c r="M284" s="306">
        <f t="shared" ca="1" si="132"/>
        <v>0.99574441012233206</v>
      </c>
      <c r="N284" s="304">
        <f t="shared" ca="1" si="133"/>
        <v>57.051952173753357</v>
      </c>
      <c r="P284" s="310">
        <f t="shared" ca="1" si="134"/>
        <v>23</v>
      </c>
      <c r="Q284" s="304">
        <f t="shared" ca="1" si="135"/>
        <v>0</v>
      </c>
      <c r="R284" s="306">
        <f t="shared" ca="1" si="136"/>
        <v>0</v>
      </c>
      <c r="S284" s="307">
        <f t="shared" ca="1" si="137"/>
        <v>4.0843000000000034</v>
      </c>
      <c r="T284" s="304">
        <f t="shared" ca="1" si="117"/>
        <v>40.066983000000036</v>
      </c>
      <c r="U284" s="311">
        <f t="shared" ca="1" si="118"/>
        <v>0</v>
      </c>
      <c r="V284" s="306">
        <f t="shared" ca="1" si="119"/>
        <v>1.0211200852272169</v>
      </c>
      <c r="W284" s="304">
        <f t="shared" ca="1" si="120"/>
        <v>1.901135114191117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1815.3963905465775</v>
      </c>
      <c r="AG284" s="306">
        <f t="shared" ca="1" si="143"/>
        <v>-8.7979866586311317</v>
      </c>
      <c r="AH284" s="304">
        <f t="shared" ca="1" si="144"/>
        <v>-0.48874369178642646</v>
      </c>
    </row>
    <row r="285" spans="1:34" x14ac:dyDescent="0.2">
      <c r="A285" s="347">
        <f t="shared" ca="1" si="122"/>
        <v>0.1</v>
      </c>
      <c r="B285" s="304">
        <f t="shared" ca="1" si="123"/>
        <v>16.699999999999939</v>
      </c>
      <c r="D285" s="306">
        <f t="shared" ca="1" si="124"/>
        <v>-0.2531611890129411</v>
      </c>
      <c r="E285" s="307">
        <f t="shared" ca="1" si="125"/>
        <v>-10.200608984334051</v>
      </c>
      <c r="F285" s="304">
        <f t="shared" ca="1" si="126"/>
        <v>10.203750008643834</v>
      </c>
      <c r="G285" s="306">
        <f t="shared" ca="1" si="127"/>
        <v>19.394307321813432</v>
      </c>
      <c r="H285" s="307">
        <f t="shared" ca="1" si="128"/>
        <v>28.942981295761495</v>
      </c>
      <c r="I285" s="304">
        <f t="shared" ca="1" si="129"/>
        <v>34.840139534447133</v>
      </c>
      <c r="J285" s="306">
        <f t="shared" ca="1" si="130"/>
        <v>334.07775093802309</v>
      </c>
      <c r="K285" s="307">
        <f t="shared" ca="1" si="131"/>
        <v>1818.3416917210754</v>
      </c>
      <c r="L285" s="304">
        <f t="shared" ca="1" si="116"/>
        <v>1848.7764741912069</v>
      </c>
      <c r="M285" s="306">
        <f t="shared" ca="1" si="132"/>
        <v>0.9804297319056039</v>
      </c>
      <c r="N285" s="304">
        <f t="shared" ca="1" si="133"/>
        <v>56.174485747333897</v>
      </c>
      <c r="P285" s="310">
        <f t="shared" ca="1" si="134"/>
        <v>23</v>
      </c>
      <c r="Q285" s="304">
        <f t="shared" ca="1" si="135"/>
        <v>0</v>
      </c>
      <c r="R285" s="306">
        <f t="shared" ca="1" si="136"/>
        <v>0</v>
      </c>
      <c r="S285" s="307">
        <f t="shared" ca="1" si="137"/>
        <v>4.0843000000000034</v>
      </c>
      <c r="T285" s="304">
        <f t="shared" ca="1" si="117"/>
        <v>40.066983000000036</v>
      </c>
      <c r="U285" s="311">
        <f t="shared" ca="1" si="118"/>
        <v>0</v>
      </c>
      <c r="V285" s="306">
        <f t="shared" ca="1" si="119"/>
        <v>1.0208168770265869</v>
      </c>
      <c r="W285" s="304">
        <f t="shared" ca="1" si="120"/>
        <v>1.8095297359198839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1818.3416917210754</v>
      </c>
      <c r="AG285" s="306">
        <f t="shared" ca="1" si="143"/>
        <v>-8.697673414974993</v>
      </c>
      <c r="AH285" s="304">
        <f t="shared" ca="1" si="144"/>
        <v>-0.46547391577286573</v>
      </c>
    </row>
    <row r="286" spans="1:34" x14ac:dyDescent="0.2">
      <c r="A286" s="347">
        <f t="shared" ca="1" si="122"/>
        <v>0.1</v>
      </c>
      <c r="B286" s="304">
        <f t="shared" ca="1" si="123"/>
        <v>16.79999999999994</v>
      </c>
      <c r="D286" s="306">
        <f t="shared" ca="1" si="124"/>
        <v>-0.24662805465604562</v>
      </c>
      <c r="E286" s="307">
        <f t="shared" ca="1" si="125"/>
        <v>-10.178053937399016</v>
      </c>
      <c r="F286" s="304">
        <f t="shared" ca="1" si="126"/>
        <v>10.181041565082968</v>
      </c>
      <c r="G286" s="306">
        <f t="shared" ca="1" si="127"/>
        <v>19.369644516347829</v>
      </c>
      <c r="H286" s="307">
        <f t="shared" ca="1" si="128"/>
        <v>27.925175902021593</v>
      </c>
      <c r="I286" s="304">
        <f t="shared" ca="1" si="129"/>
        <v>33.985270012882509</v>
      </c>
      <c r="J286" s="306">
        <f t="shared" ca="1" si="130"/>
        <v>336.01594852993117</v>
      </c>
      <c r="K286" s="307">
        <f t="shared" ca="1" si="131"/>
        <v>1821.1850995809646</v>
      </c>
      <c r="L286" s="304">
        <f t="shared" ca="1" si="116"/>
        <v>1851.9238333695578</v>
      </c>
      <c r="M286" s="306">
        <f t="shared" ca="1" si="132"/>
        <v>0.96436063904240643</v>
      </c>
      <c r="N286" s="304">
        <f t="shared" ca="1" si="133"/>
        <v>55.253794545668889</v>
      </c>
      <c r="P286" s="310">
        <f t="shared" ca="1" si="134"/>
        <v>23</v>
      </c>
      <c r="Q286" s="304">
        <f t="shared" ca="1" si="135"/>
        <v>0</v>
      </c>
      <c r="R286" s="306">
        <f t="shared" ca="1" si="136"/>
        <v>0</v>
      </c>
      <c r="S286" s="307">
        <f t="shared" ca="1" si="137"/>
        <v>4.0843000000000034</v>
      </c>
      <c r="T286" s="304">
        <f t="shared" ca="1" si="117"/>
        <v>40.066983000000036</v>
      </c>
      <c r="U286" s="311">
        <f t="shared" ca="1" si="118"/>
        <v>0</v>
      </c>
      <c r="V286" s="306">
        <f t="shared" ca="1" si="119"/>
        <v>1.0205242360297357</v>
      </c>
      <c r="W286" s="304">
        <f t="shared" ca="1" si="120"/>
        <v>1.7213250296960452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1821.1850995809646</v>
      </c>
      <c r="AG286" s="306">
        <f t="shared" ca="1" si="143"/>
        <v>-8.5925719306486208</v>
      </c>
      <c r="AH286" s="304">
        <f t="shared" ca="1" si="144"/>
        <v>-0.44304525522608096</v>
      </c>
    </row>
    <row r="287" spans="1:34" x14ac:dyDescent="0.2">
      <c r="A287" s="347">
        <f t="shared" ca="1" si="122"/>
        <v>0.1</v>
      </c>
      <c r="B287" s="304">
        <f t="shared" ca="1" si="123"/>
        <v>16.899999999999942</v>
      </c>
      <c r="D287" s="306">
        <f t="shared" ca="1" si="124"/>
        <v>-0.24020175438602406</v>
      </c>
      <c r="E287" s="307">
        <f t="shared" ca="1" si="125"/>
        <v>-10.156298365855021</v>
      </c>
      <c r="F287" s="304">
        <f t="shared" ca="1" si="126"/>
        <v>10.159138417163115</v>
      </c>
      <c r="G287" s="306">
        <f t="shared" ca="1" si="127"/>
        <v>19.345624340909229</v>
      </c>
      <c r="H287" s="307">
        <f t="shared" ca="1" si="128"/>
        <v>26.909546065436089</v>
      </c>
      <c r="I287" s="304">
        <f t="shared" ca="1" si="129"/>
        <v>33.141768971909251</v>
      </c>
      <c r="J287" s="306">
        <f t="shared" ca="1" si="130"/>
        <v>337.95171197279404</v>
      </c>
      <c r="K287" s="307">
        <f t="shared" ca="1" si="131"/>
        <v>1823.9268356793375</v>
      </c>
      <c r="L287" s="304">
        <f t="shared" ca="1" si="116"/>
        <v>1854.9718223025877</v>
      </c>
      <c r="M287" s="306">
        <f t="shared" ca="1" si="132"/>
        <v>0.94748948268923872</v>
      </c>
      <c r="N287" s="304">
        <f t="shared" ca="1" si="133"/>
        <v>54.287148491127049</v>
      </c>
      <c r="P287" s="310">
        <f t="shared" ca="1" si="134"/>
        <v>23</v>
      </c>
      <c r="Q287" s="304">
        <f t="shared" ca="1" si="135"/>
        <v>0</v>
      </c>
      <c r="R287" s="306">
        <f t="shared" ca="1" si="136"/>
        <v>0</v>
      </c>
      <c r="S287" s="307">
        <f t="shared" ca="1" si="137"/>
        <v>4.0843000000000034</v>
      </c>
      <c r="T287" s="304">
        <f t="shared" ca="1" si="117"/>
        <v>40.066983000000036</v>
      </c>
      <c r="U287" s="311">
        <f t="shared" ca="1" si="118"/>
        <v>0</v>
      </c>
      <c r="V287" s="306">
        <f t="shared" ca="1" si="119"/>
        <v>1.0202421312140422</v>
      </c>
      <c r="W287" s="304">
        <f t="shared" ca="1" si="120"/>
        <v>1.6364876655830065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1823.9268356793375</v>
      </c>
      <c r="AG287" s="306">
        <f t="shared" ca="1" si="143"/>
        <v>-8.4821759799261454</v>
      </c>
      <c r="AH287" s="304">
        <f t="shared" ca="1" si="144"/>
        <v>-0.42144921521338879</v>
      </c>
    </row>
    <row r="288" spans="1:34" x14ac:dyDescent="0.2">
      <c r="A288" s="347">
        <f t="shared" ca="1" si="122"/>
        <v>0.1</v>
      </c>
      <c r="B288" s="304">
        <f t="shared" ca="1" si="123"/>
        <v>16.999999999999943</v>
      </c>
      <c r="D288" s="306">
        <f t="shared" ca="1" si="124"/>
        <v>-0.23388489068267795</v>
      </c>
      <c r="E288" s="307">
        <f t="shared" ca="1" si="125"/>
        <v>-10.135331254702695</v>
      </c>
      <c r="F288" s="304">
        <f t="shared" ca="1" si="126"/>
        <v>10.138029482332499</v>
      </c>
      <c r="G288" s="306">
        <f t="shared" ca="1" si="127"/>
        <v>19.322235851840961</v>
      </c>
      <c r="H288" s="307">
        <f t="shared" ca="1" si="128"/>
        <v>25.896012939965821</v>
      </c>
      <c r="I288" s="304">
        <f t="shared" ca="1" si="129"/>
        <v>32.310250455560471</v>
      </c>
      <c r="J288" s="306">
        <f t="shared" ca="1" si="130"/>
        <v>339.88510498243153</v>
      </c>
      <c r="K288" s="307">
        <f t="shared" ca="1" si="131"/>
        <v>1826.5671136296075</v>
      </c>
      <c r="L288" s="304">
        <f t="shared" ca="1" si="116"/>
        <v>1857.9206939969515</v>
      </c>
      <c r="M288" s="306">
        <f t="shared" ca="1" si="132"/>
        <v>0.92976561555560422</v>
      </c>
      <c r="N288" s="304">
        <f t="shared" ca="1" si="133"/>
        <v>53.271645707719166</v>
      </c>
      <c r="P288" s="310">
        <f t="shared" ca="1" si="134"/>
        <v>23</v>
      </c>
      <c r="Q288" s="304">
        <f t="shared" ca="1" si="135"/>
        <v>0</v>
      </c>
      <c r="R288" s="306">
        <f t="shared" ca="1" si="136"/>
        <v>0</v>
      </c>
      <c r="S288" s="307">
        <f t="shared" ca="1" si="137"/>
        <v>4.0843000000000034</v>
      </c>
      <c r="T288" s="304">
        <f t="shared" ca="1" si="117"/>
        <v>40.066983000000036</v>
      </c>
      <c r="U288" s="311">
        <f t="shared" ca="1" si="118"/>
        <v>0</v>
      </c>
      <c r="V288" s="306">
        <f t="shared" ca="1" si="119"/>
        <v>1.0199705326955393</v>
      </c>
      <c r="W288" s="304">
        <f t="shared" ca="1" si="120"/>
        <v>1.5549856492295111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>
        <f t="shared" ca="1" si="141"/>
        <v>16.999999999999943</v>
      </c>
      <c r="AD288" s="323">
        <f t="shared" ca="1" si="142"/>
        <v>339.88510498243153</v>
      </c>
      <c r="AE288" s="324">
        <f t="shared" ca="1" si="121"/>
        <v>1826.5671136296075</v>
      </c>
      <c r="AG288" s="306">
        <f t="shared" ca="1" si="143"/>
        <v>-8.365932812941983</v>
      </c>
      <c r="AH288" s="304">
        <f t="shared" ca="1" si="144"/>
        <v>-0.40067763523321137</v>
      </c>
    </row>
    <row r="289" spans="1:34" x14ac:dyDescent="0.2">
      <c r="A289" s="347">
        <f t="shared" ca="1" si="122"/>
        <v>0.1</v>
      </c>
      <c r="B289" s="304">
        <f t="shared" ca="1" si="123"/>
        <v>17.099999999999945</v>
      </c>
      <c r="D289" s="306">
        <f t="shared" ca="1" si="124"/>
        <v>-0.22768048368378649</v>
      </c>
      <c r="E289" s="307">
        <f t="shared" ca="1" si="125"/>
        <v>-10.115141537287014</v>
      </c>
      <c r="F289" s="304">
        <f t="shared" ca="1" si="126"/>
        <v>10.117703628887318</v>
      </c>
      <c r="G289" s="306">
        <f t="shared" ca="1" si="127"/>
        <v>19.299467803472584</v>
      </c>
      <c r="H289" s="307">
        <f t="shared" ca="1" si="128"/>
        <v>24.884498786237121</v>
      </c>
      <c r="I289" s="304">
        <f t="shared" ca="1" si="129"/>
        <v>31.491391479887191</v>
      </c>
      <c r="J289" s="306">
        <f t="shared" ca="1" si="130"/>
        <v>341.81619016519721</v>
      </c>
      <c r="K289" s="307">
        <f t="shared" ca="1" si="131"/>
        <v>1829.1061392159177</v>
      </c>
      <c r="L289" s="304">
        <f t="shared" ca="1" si="116"/>
        <v>1860.7706941953945</v>
      </c>
      <c r="M289" s="306">
        <f t="shared" ca="1" si="132"/>
        <v>0.91113533760643517</v>
      </c>
      <c r="N289" s="304">
        <f t="shared" ca="1" si="133"/>
        <v>52.204209410076132</v>
      </c>
      <c r="P289" s="310">
        <f t="shared" ca="1" si="134"/>
        <v>23</v>
      </c>
      <c r="Q289" s="304">
        <f t="shared" ca="1" si="135"/>
        <v>0</v>
      </c>
      <c r="R289" s="306">
        <f t="shared" ca="1" si="136"/>
        <v>0</v>
      </c>
      <c r="S289" s="307">
        <f t="shared" ca="1" si="137"/>
        <v>4.0843000000000034</v>
      </c>
      <c r="T289" s="304">
        <f t="shared" ca="1" si="117"/>
        <v>40.066983000000036</v>
      </c>
      <c r="U289" s="311">
        <f t="shared" ca="1" si="118"/>
        <v>0</v>
      </c>
      <c r="V289" s="306">
        <f t="shared" ca="1" si="119"/>
        <v>1.0197094117139165</v>
      </c>
      <c r="W289" s="304">
        <f t="shared" ca="1" si="120"/>
        <v>1.476788292357252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1829.1061392159177</v>
      </c>
      <c r="AG289" s="306">
        <f t="shared" ca="1" si="143"/>
        <v>-8.243239479374985</v>
      </c>
      <c r="AH289" s="304">
        <f t="shared" ca="1" si="144"/>
        <v>-0.38072268178868102</v>
      </c>
    </row>
    <row r="290" spans="1:34" x14ac:dyDescent="0.2">
      <c r="A290" s="347">
        <f t="shared" ca="1" si="122"/>
        <v>0.1</v>
      </c>
      <c r="B290" s="304">
        <f t="shared" ca="1" si="123"/>
        <v>17.199999999999946</v>
      </c>
      <c r="D290" s="306">
        <f t="shared" ca="1" si="124"/>
        <v>-0.22159200583247779</v>
      </c>
      <c r="E290" s="307">
        <f t="shared" ca="1" si="125"/>
        <v>-10.095718034110037</v>
      </c>
      <c r="F290" s="304">
        <f t="shared" ca="1" si="126"/>
        <v>10.098149614721674</v>
      </c>
      <c r="G290" s="306">
        <f t="shared" ca="1" si="127"/>
        <v>19.277308602889338</v>
      </c>
      <c r="H290" s="307">
        <f t="shared" ca="1" si="128"/>
        <v>23.874926982826118</v>
      </c>
      <c r="I290" s="304">
        <f t="shared" ca="1" si="129"/>
        <v>30.685937583953827</v>
      </c>
      <c r="J290" s="306">
        <f t="shared" ca="1" si="130"/>
        <v>343.74502898551532</v>
      </c>
      <c r="K290" s="307">
        <f t="shared" ca="1" si="131"/>
        <v>1831.5441105043708</v>
      </c>
      <c r="L290" s="304">
        <f t="shared" ca="1" si="116"/>
        <v>1863.522061494175</v>
      </c>
      <c r="M290" s="306">
        <f t="shared" ca="1" si="132"/>
        <v>0.89154188906618093</v>
      </c>
      <c r="N290" s="304">
        <f t="shared" ca="1" si="133"/>
        <v>51.081587502612805</v>
      </c>
      <c r="P290" s="310">
        <f t="shared" ca="1" si="134"/>
        <v>23</v>
      </c>
      <c r="Q290" s="304">
        <f t="shared" ca="1" si="135"/>
        <v>0</v>
      </c>
      <c r="R290" s="306">
        <f t="shared" ca="1" si="136"/>
        <v>0</v>
      </c>
      <c r="S290" s="307">
        <f t="shared" ca="1" si="137"/>
        <v>4.0843000000000034</v>
      </c>
      <c r="T290" s="304">
        <f t="shared" ca="1" si="117"/>
        <v>40.066983000000036</v>
      </c>
      <c r="U290" s="311">
        <f t="shared" ca="1" si="118"/>
        <v>0</v>
      </c>
      <c r="V290" s="306">
        <f t="shared" ca="1" si="119"/>
        <v>1.0194587406175899</v>
      </c>
      <c r="W290" s="304">
        <f t="shared" ca="1" si="120"/>
        <v>1.4018661839696147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1831.5441105043708</v>
      </c>
      <c r="AG290" s="306">
        <f t="shared" ca="1" si="143"/>
        <v>-8.11343922707443</v>
      </c>
      <c r="AH290" s="304">
        <f t="shared" ca="1" si="144"/>
        <v>-0.3615768411618272</v>
      </c>
    </row>
    <row r="291" spans="1:34" x14ac:dyDescent="0.2">
      <c r="A291" s="347">
        <f t="shared" ca="1" si="122"/>
        <v>0.1</v>
      </c>
      <c r="B291" s="304">
        <f t="shared" ca="1" si="123"/>
        <v>17.299999999999947</v>
      </c>
      <c r="D291" s="306">
        <f t="shared" ca="1" si="124"/>
        <v>-0.21562341891014924</v>
      </c>
      <c r="E291" s="307">
        <f t="shared" ca="1" si="125"/>
        <v>-10.077049383724425</v>
      </c>
      <c r="F291" s="304">
        <f t="shared" ca="1" si="126"/>
        <v>10.079356018159261</v>
      </c>
      <c r="G291" s="306">
        <f t="shared" ca="1" si="127"/>
        <v>19.255746260998322</v>
      </c>
      <c r="H291" s="307">
        <f t="shared" ca="1" si="128"/>
        <v>22.867222044453676</v>
      </c>
      <c r="I291" s="304">
        <f t="shared" ca="1" si="129"/>
        <v>29.894708697331357</v>
      </c>
      <c r="J291" s="306">
        <f t="shared" ca="1" si="130"/>
        <v>345.6716817287097</v>
      </c>
      <c r="K291" s="307">
        <f t="shared" ca="1" si="131"/>
        <v>1833.8812179557349</v>
      </c>
      <c r="L291" s="304">
        <f t="shared" ca="1" si="116"/>
        <v>1866.1750274612409</v>
      </c>
      <c r="M291" s="306">
        <f t="shared" ca="1" si="132"/>
        <v>0.87092550721346051</v>
      </c>
      <c r="N291" s="304">
        <f t="shared" ca="1" si="133"/>
        <v>49.900355833621823</v>
      </c>
      <c r="P291" s="310">
        <f t="shared" ca="1" si="134"/>
        <v>23</v>
      </c>
      <c r="Q291" s="304">
        <f t="shared" ca="1" si="135"/>
        <v>0</v>
      </c>
      <c r="R291" s="306">
        <f t="shared" ca="1" si="136"/>
        <v>0</v>
      </c>
      <c r="S291" s="307">
        <f t="shared" ca="1" si="137"/>
        <v>4.0843000000000034</v>
      </c>
      <c r="T291" s="304">
        <f t="shared" ca="1" si="117"/>
        <v>40.066983000000036</v>
      </c>
      <c r="U291" s="311">
        <f t="shared" ca="1" si="118"/>
        <v>0</v>
      </c>
      <c r="V291" s="306">
        <f t="shared" ca="1" si="119"/>
        <v>1.0192184928487844</v>
      </c>
      <c r="W291" s="304">
        <f t="shared" ca="1" si="120"/>
        <v>1.3301911621762728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1833.8812179557349</v>
      </c>
      <c r="AG291" s="306">
        <f t="shared" ca="1" si="143"/>
        <v>-7.9758181335503986</v>
      </c>
      <c r="AH291" s="304">
        <f t="shared" ca="1" si="144"/>
        <v>-0.34323291236432524</v>
      </c>
    </row>
    <row r="292" spans="1:34" x14ac:dyDescent="0.2">
      <c r="A292" s="347">
        <f t="shared" ca="1" si="122"/>
        <v>0.1</v>
      </c>
      <c r="B292" s="304">
        <f t="shared" ca="1" si="123"/>
        <v>17.399999999999949</v>
      </c>
      <c r="D292" s="306">
        <f t="shared" ca="1" si="124"/>
        <v>-0.20977921321673593</v>
      </c>
      <c r="E292" s="307">
        <f t="shared" ca="1" si="125"/>
        <v>-10.059123964551514</v>
      </c>
      <c r="F292" s="304">
        <f t="shared" ca="1" si="126"/>
        <v>10.061311159710369</v>
      </c>
      <c r="G292" s="306">
        <f t="shared" ca="1" si="127"/>
        <v>19.234768339676648</v>
      </c>
      <c r="H292" s="307">
        <f t="shared" ca="1" si="128"/>
        <v>21.861309647998524</v>
      </c>
      <c r="I292" s="304">
        <f t="shared" ca="1" si="129"/>
        <v>29.118605265477612</v>
      </c>
      <c r="J292" s="306">
        <f t="shared" ca="1" si="130"/>
        <v>347.59620745874344</v>
      </c>
      <c r="K292" s="307">
        <f t="shared" ca="1" si="131"/>
        <v>1836.1176445403576</v>
      </c>
      <c r="L292" s="304">
        <f t="shared" ca="1" si="116"/>
        <v>1868.729816755791</v>
      </c>
      <c r="M292" s="306">
        <f t="shared" ca="1" si="132"/>
        <v>0.84922356725448767</v>
      </c>
      <c r="N292" s="304">
        <f t="shared" ca="1" si="133"/>
        <v>48.656926266726366</v>
      </c>
      <c r="P292" s="310">
        <f t="shared" ca="1" si="134"/>
        <v>23</v>
      </c>
      <c r="Q292" s="304">
        <f t="shared" ca="1" si="135"/>
        <v>0</v>
      </c>
      <c r="R292" s="306">
        <f t="shared" ca="1" si="136"/>
        <v>0</v>
      </c>
      <c r="S292" s="307">
        <f t="shared" ca="1" si="137"/>
        <v>4.0843000000000034</v>
      </c>
      <c r="T292" s="304">
        <f t="shared" ca="1" si="117"/>
        <v>40.066983000000036</v>
      </c>
      <c r="U292" s="311">
        <f t="shared" ca="1" si="118"/>
        <v>0</v>
      </c>
      <c r="V292" s="306">
        <f t="shared" ca="1" si="119"/>
        <v>1.0189886429285371</v>
      </c>
      <c r="W292" s="304">
        <f t="shared" ca="1" si="120"/>
        <v>1.2617362865197479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1836.1176445403576</v>
      </c>
      <c r="AG292" s="306">
        <f t="shared" ca="1" si="143"/>
        <v>-7.8296021861391285</v>
      </c>
      <c r="AH292" s="304">
        <f t="shared" ca="1" si="144"/>
        <v>-0.32568400023903032</v>
      </c>
    </row>
    <row r="293" spans="1:34" x14ac:dyDescent="0.2">
      <c r="A293" s="347">
        <f t="shared" ca="1" si="122"/>
        <v>0.1</v>
      </c>
      <c r="B293" s="304">
        <f t="shared" ca="1" si="123"/>
        <v>17.49999999999995</v>
      </c>
      <c r="D293" s="306">
        <f t="shared" ca="1" si="124"/>
        <v>-0.2040644484874953</v>
      </c>
      <c r="E293" s="307">
        <f t="shared" ca="1" si="125"/>
        <v>-10.041929806366889</v>
      </c>
      <c r="F293" s="304">
        <f t="shared" ca="1" si="126"/>
        <v>10.044003013496972</v>
      </c>
      <c r="G293" s="306">
        <f t="shared" ca="1" si="127"/>
        <v>19.214361894827899</v>
      </c>
      <c r="H293" s="307">
        <f t="shared" ca="1" si="128"/>
        <v>20.857116667361836</v>
      </c>
      <c r="I293" s="304">
        <f t="shared" ca="1" si="129"/>
        <v>28.358614541288105</v>
      </c>
      <c r="J293" s="306">
        <f t="shared" ca="1" si="130"/>
        <v>349.51866397046865</v>
      </c>
      <c r="K293" s="307">
        <f t="shared" ca="1" si="131"/>
        <v>1838.2535658561255</v>
      </c>
      <c r="L293" s="304">
        <f t="shared" ca="1" si="116"/>
        <v>1871.1866472499376</v>
      </c>
      <c r="M293" s="306">
        <f t="shared" ca="1" si="132"/>
        <v>0.82637083186688653</v>
      </c>
      <c r="N293" s="304">
        <f t="shared" ca="1" si="133"/>
        <v>47.347560978687554</v>
      </c>
      <c r="P293" s="310">
        <f t="shared" ca="1" si="134"/>
        <v>23</v>
      </c>
      <c r="Q293" s="304">
        <f t="shared" ca="1" si="135"/>
        <v>0</v>
      </c>
      <c r="R293" s="306">
        <f t="shared" ca="1" si="136"/>
        <v>0</v>
      </c>
      <c r="S293" s="307">
        <f t="shared" ca="1" si="137"/>
        <v>4.0843000000000034</v>
      </c>
      <c r="T293" s="304">
        <f t="shared" ca="1" si="117"/>
        <v>40.066983000000036</v>
      </c>
      <c r="U293" s="311">
        <f t="shared" ca="1" si="118"/>
        <v>0</v>
      </c>
      <c r="V293" s="306">
        <f t="shared" ca="1" si="119"/>
        <v>1.0187691664415406</v>
      </c>
      <c r="W293" s="304">
        <f t="shared" ca="1" si="120"/>
        <v>1.1964758106799507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1838.2535658561255</v>
      </c>
      <c r="AG293" s="306">
        <f t="shared" ca="1" si="143"/>
        <v>-7.6739550990238046</v>
      </c>
      <c r="AH293" s="304">
        <f t="shared" ca="1" si="144"/>
        <v>-0.30892350868441271</v>
      </c>
    </row>
    <row r="294" spans="1:34" x14ac:dyDescent="0.2">
      <c r="A294" s="347">
        <f t="shared" ca="1" si="122"/>
        <v>0.1</v>
      </c>
      <c r="B294" s="304">
        <f t="shared" ca="1" si="123"/>
        <v>17.599999999999952</v>
      </c>
      <c r="D294" s="306">
        <f t="shared" ca="1" si="124"/>
        <v>-0.19848479590788534</v>
      </c>
      <c r="E294" s="307">
        <f t="shared" ca="1" si="125"/>
        <v>-10.025454490115679</v>
      </c>
      <c r="F294" s="304">
        <f t="shared" ca="1" si="126"/>
        <v>10.027419107007905</v>
      </c>
      <c r="G294" s="306">
        <f t="shared" ca="1" si="127"/>
        <v>19.194513415237111</v>
      </c>
      <c r="H294" s="307">
        <f t="shared" ca="1" si="128"/>
        <v>19.854571218350269</v>
      </c>
      <c r="I294" s="304">
        <f t="shared" ca="1" si="129"/>
        <v>27.615816908291169</v>
      </c>
      <c r="J294" s="306">
        <f t="shared" ca="1" si="130"/>
        <v>351.4391077359719</v>
      </c>
      <c r="K294" s="307">
        <f t="shared" ca="1" si="131"/>
        <v>1840.2891502504112</v>
      </c>
      <c r="L294" s="304">
        <f t="shared" ca="1" si="116"/>
        <v>1873.5457301532933</v>
      </c>
      <c r="M294" s="306">
        <f t="shared" ca="1" si="132"/>
        <v>0.80229983871062771</v>
      </c>
      <c r="N294" s="304">
        <f t="shared" ca="1" si="133"/>
        <v>45.968394662145634</v>
      </c>
      <c r="P294" s="310">
        <f t="shared" ca="1" si="134"/>
        <v>23</v>
      </c>
      <c r="Q294" s="304">
        <f t="shared" ca="1" si="135"/>
        <v>0</v>
      </c>
      <c r="R294" s="306">
        <f t="shared" ca="1" si="136"/>
        <v>0</v>
      </c>
      <c r="S294" s="307">
        <f t="shared" ca="1" si="137"/>
        <v>4.0843000000000034</v>
      </c>
      <c r="T294" s="304">
        <f t="shared" ca="1" si="117"/>
        <v>40.066983000000036</v>
      </c>
      <c r="U294" s="311">
        <f t="shared" ca="1" si="118"/>
        <v>0</v>
      </c>
      <c r="V294" s="306">
        <f t="shared" ca="1" si="119"/>
        <v>1.0185600400207244</v>
      </c>
      <c r="W294" s="304">
        <f t="shared" ca="1" si="120"/>
        <v>1.1343851554210431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1840.2891502504112</v>
      </c>
      <c r="AG294" s="306">
        <f t="shared" ca="1" si="143"/>
        <v>-7.5079772438415251</v>
      </c>
      <c r="AH294" s="304">
        <f t="shared" ca="1" si="144"/>
        <v>-0.29294513397153726</v>
      </c>
    </row>
    <row r="295" spans="1:34" x14ac:dyDescent="0.2">
      <c r="A295" s="347">
        <f t="shared" ca="1" si="122"/>
        <v>0.1</v>
      </c>
      <c r="B295" s="304">
        <f t="shared" ca="1" si="123"/>
        <v>17.699999999999953</v>
      </c>
      <c r="D295" s="306">
        <f t="shared" ca="1" si="124"/>
        <v>-0.19304658029425265</v>
      </c>
      <c r="E295" s="307">
        <f t="shared" ca="1" si="125"/>
        <v>-10.009685034676034</v>
      </c>
      <c r="F295" s="304">
        <f t="shared" ca="1" si="126"/>
        <v>10.011546407802376</v>
      </c>
      <c r="G295" s="306">
        <f t="shared" ca="1" si="127"/>
        <v>19.175208757207685</v>
      </c>
      <c r="H295" s="307">
        <f t="shared" ca="1" si="128"/>
        <v>18.853602714882665</v>
      </c>
      <c r="I295" s="304">
        <f t="shared" ca="1" si="129"/>
        <v>26.891392046770754</v>
      </c>
      <c r="J295" s="306">
        <f t="shared" ca="1" si="130"/>
        <v>353.35759384459413</v>
      </c>
      <c r="K295" s="307">
        <f t="shared" ca="1" si="131"/>
        <v>1842.2245589470729</v>
      </c>
      <c r="L295" s="304">
        <f t="shared" ca="1" si="116"/>
        <v>1875.8072701414126</v>
      </c>
      <c r="M295" s="306">
        <f t="shared" ca="1" si="132"/>
        <v>0.7769414600928134</v>
      </c>
      <c r="N295" s="304">
        <f t="shared" ca="1" si="133"/>
        <v>44.515466592050082</v>
      </c>
      <c r="P295" s="310">
        <f t="shared" ca="1" si="134"/>
        <v>23</v>
      </c>
      <c r="Q295" s="304">
        <f t="shared" ca="1" si="135"/>
        <v>0</v>
      </c>
      <c r="R295" s="306">
        <f t="shared" ca="1" si="136"/>
        <v>0</v>
      </c>
      <c r="S295" s="307">
        <f t="shared" ca="1" si="137"/>
        <v>4.0843000000000034</v>
      </c>
      <c r="T295" s="304">
        <f t="shared" ca="1" si="117"/>
        <v>40.066983000000036</v>
      </c>
      <c r="U295" s="311">
        <f t="shared" ca="1" si="118"/>
        <v>0</v>
      </c>
      <c r="V295" s="306">
        <f t="shared" ca="1" si="119"/>
        <v>1.0183612413314598</v>
      </c>
      <c r="W295" s="304">
        <f t="shared" ca="1" si="120"/>
        <v>1.0754408816315777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1842.2245589470729</v>
      </c>
      <c r="AG295" s="306">
        <f t="shared" ca="1" si="143"/>
        <v>-7.3307061761650729</v>
      </c>
      <c r="AH295" s="304">
        <f t="shared" ca="1" si="144"/>
        <v>-0.27774285812037369</v>
      </c>
    </row>
    <row r="296" spans="1:34" x14ac:dyDescent="0.2">
      <c r="A296" s="347">
        <f t="shared" ca="1" si="122"/>
        <v>0.1</v>
      </c>
      <c r="B296" s="304">
        <f t="shared" ca="1" si="123"/>
        <v>17.799999999999955</v>
      </c>
      <c r="D296" s="306">
        <f t="shared" ca="1" si="124"/>
        <v>-0.18775682113658487</v>
      </c>
      <c r="E296" s="307">
        <f t="shared" ca="1" si="125"/>
        <v>-9.9946077692055297</v>
      </c>
      <c r="F296" s="304">
        <f t="shared" ca="1" si="126"/>
        <v>9.9963711957963444</v>
      </c>
      <c r="G296" s="306">
        <f t="shared" ca="1" si="127"/>
        <v>19.156433075094025</v>
      </c>
      <c r="H296" s="307">
        <f t="shared" ca="1" si="128"/>
        <v>17.854141937962112</v>
      </c>
      <c r="I296" s="304">
        <f t="shared" ca="1" si="129"/>
        <v>26.186624687069806</v>
      </c>
      <c r="J296" s="306">
        <f t="shared" ca="1" si="130"/>
        <v>355.27417593620925</v>
      </c>
      <c r="K296" s="307">
        <f t="shared" ca="1" si="131"/>
        <v>1844.0599461797151</v>
      </c>
      <c r="L296" s="304">
        <f t="shared" ca="1" si="116"/>
        <v>1877.9714654891554</v>
      </c>
      <c r="M296" s="306">
        <f t="shared" ca="1" si="132"/>
        <v>0.75022567366523363</v>
      </c>
      <c r="N296" s="304">
        <f t="shared" ca="1" si="133"/>
        <v>42.984764783376875</v>
      </c>
      <c r="P296" s="310">
        <f t="shared" ca="1" si="134"/>
        <v>23</v>
      </c>
      <c r="Q296" s="304">
        <f t="shared" ca="1" si="135"/>
        <v>0</v>
      </c>
      <c r="R296" s="306">
        <f t="shared" ca="1" si="136"/>
        <v>0</v>
      </c>
      <c r="S296" s="307">
        <f t="shared" ca="1" si="137"/>
        <v>4.0843000000000034</v>
      </c>
      <c r="T296" s="304">
        <f t="shared" ca="1" si="117"/>
        <v>40.066983000000036</v>
      </c>
      <c r="U296" s="311">
        <f t="shared" ca="1" si="118"/>
        <v>0</v>
      </c>
      <c r="V296" s="306">
        <f t="shared" ca="1" si="119"/>
        <v>1.0181727490552672</v>
      </c>
      <c r="W296" s="304">
        <f t="shared" ca="1" si="120"/>
        <v>1.0196206632938496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1844.0599461797151</v>
      </c>
      <c r="AG296" s="306">
        <f t="shared" ca="1" si="143"/>
        <v>-7.1411193618600706</v>
      </c>
      <c r="AH296" s="304">
        <f t="shared" ca="1" si="144"/>
        <v>-0.26331094229894397</v>
      </c>
    </row>
    <row r="297" spans="1:34" x14ac:dyDescent="0.2">
      <c r="A297" s="347">
        <f t="shared" ca="1" si="122"/>
        <v>0.1</v>
      </c>
      <c r="B297" s="304">
        <f t="shared" ca="1" si="123"/>
        <v>17.899999999999956</v>
      </c>
      <c r="D297" s="306">
        <f t="shared" ca="1" si="124"/>
        <v>-0.18262327074077672</v>
      </c>
      <c r="E297" s="307">
        <f t="shared" ca="1" si="125"/>
        <v>-9.9802081898127426</v>
      </c>
      <c r="F297" s="304">
        <f t="shared" ca="1" si="126"/>
        <v>9.9818789198738234</v>
      </c>
      <c r="G297" s="306">
        <f t="shared" ca="1" si="127"/>
        <v>19.138170748019949</v>
      </c>
      <c r="H297" s="307">
        <f t="shared" ca="1" si="128"/>
        <v>16.856121118980838</v>
      </c>
      <c r="I297" s="304">
        <f t="shared" ca="1" si="129"/>
        <v>25.502909613573863</v>
      </c>
      <c r="J297" s="306">
        <f t="shared" ca="1" si="130"/>
        <v>357.18890612736493</v>
      </c>
      <c r="K297" s="307">
        <f t="shared" ca="1" si="131"/>
        <v>1845.7954593325621</v>
      </c>
      <c r="L297" s="304">
        <f t="shared" ca="1" si="116"/>
        <v>1880.0385082101823</v>
      </c>
      <c r="M297" s="306">
        <f t="shared" ca="1" si="132"/>
        <v>0.72208258691744742</v>
      </c>
      <c r="N297" s="304">
        <f t="shared" ca="1" si="133"/>
        <v>41.372284690258169</v>
      </c>
      <c r="P297" s="310">
        <f t="shared" ca="1" si="134"/>
        <v>23</v>
      </c>
      <c r="Q297" s="304">
        <f t="shared" ca="1" si="135"/>
        <v>0</v>
      </c>
      <c r="R297" s="306">
        <f t="shared" ca="1" si="136"/>
        <v>0</v>
      </c>
      <c r="S297" s="307">
        <f t="shared" ca="1" si="137"/>
        <v>4.0843000000000034</v>
      </c>
      <c r="T297" s="304">
        <f t="shared" ca="1" si="117"/>
        <v>40.066983000000036</v>
      </c>
      <c r="U297" s="311">
        <f t="shared" ca="1" si="118"/>
        <v>0</v>
      </c>
      <c r="V297" s="306">
        <f t="shared" ca="1" si="119"/>
        <v>1.0179945428728765</v>
      </c>
      <c r="W297" s="304">
        <f t="shared" ca="1" si="120"/>
        <v>0.96690326020171569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1845.7954593325621</v>
      </c>
      <c r="AG297" s="306">
        <f t="shared" ca="1" si="143"/>
        <v>-6.9381398414794777</v>
      </c>
      <c r="AH297" s="304">
        <f t="shared" ca="1" si="144"/>
        <v>-0.2496439202051389</v>
      </c>
    </row>
    <row r="298" spans="1:34" x14ac:dyDescent="0.2">
      <c r="A298" s="347">
        <f t="shared" ca="1" si="122"/>
        <v>0.1</v>
      </c>
      <c r="B298" s="304">
        <f t="shared" ca="1" si="123"/>
        <v>17.999999999999957</v>
      </c>
      <c r="D298" s="306">
        <f t="shared" ca="1" si="124"/>
        <v>-0.17765444715595108</v>
      </c>
      <c r="E298" s="307">
        <f t="shared" ca="1" si="125"/>
        <v>-9.9664707995353279</v>
      </c>
      <c r="F298" s="304">
        <f t="shared" ca="1" si="126"/>
        <v>9.9680540378042011</v>
      </c>
      <c r="G298" s="306">
        <f t="shared" ca="1" si="127"/>
        <v>19.120405303304352</v>
      </c>
      <c r="H298" s="307">
        <f t="shared" ca="1" si="128"/>
        <v>15.859474039027305</v>
      </c>
      <c r="I298" s="304">
        <f t="shared" ca="1" si="129"/>
        <v>24.841755488636672</v>
      </c>
      <c r="J298" s="306">
        <f t="shared" ca="1" si="130"/>
        <v>359.10183492993116</v>
      </c>
      <c r="K298" s="307">
        <f t="shared" ca="1" si="131"/>
        <v>1847.4312390904624</v>
      </c>
      <c r="L298" s="304">
        <f t="shared" ca="1" si="116"/>
        <v>1882.0085842039523</v>
      </c>
      <c r="M298" s="306">
        <f t="shared" ca="1" si="132"/>
        <v>0.69244376039744626</v>
      </c>
      <c r="N298" s="304">
        <f t="shared" ca="1" si="133"/>
        <v>39.674105020941688</v>
      </c>
      <c r="P298" s="310">
        <f t="shared" ca="1" si="134"/>
        <v>23</v>
      </c>
      <c r="Q298" s="304">
        <f t="shared" ca="1" si="135"/>
        <v>0</v>
      </c>
      <c r="R298" s="306">
        <f t="shared" ca="1" si="136"/>
        <v>0</v>
      </c>
      <c r="S298" s="307">
        <f t="shared" ca="1" si="137"/>
        <v>4.0843000000000034</v>
      </c>
      <c r="T298" s="304">
        <f t="shared" ca="1" si="117"/>
        <v>40.066983000000036</v>
      </c>
      <c r="U298" s="311">
        <f t="shared" ca="1" si="118"/>
        <v>0</v>
      </c>
      <c r="V298" s="306">
        <f t="shared" ca="1" si="119"/>
        <v>1.0178266034464898</v>
      </c>
      <c r="W298" s="304">
        <f t="shared" ca="1" si="120"/>
        <v>0.91726849022813928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>
        <f t="shared" ca="1" si="141"/>
        <v>17.999999999999957</v>
      </c>
      <c r="AD298" s="323">
        <f t="shared" ca="1" si="142"/>
        <v>359.10183492993116</v>
      </c>
      <c r="AE298" s="324">
        <f t="shared" ca="1" si="121"/>
        <v>1847.4312390904624</v>
      </c>
      <c r="AG298" s="306">
        <f t="shared" ca="1" si="143"/>
        <v>-6.720645709317175</v>
      </c>
      <c r="AH298" s="304">
        <f t="shared" ca="1" si="144"/>
        <v>-0.23673659138694877</v>
      </c>
    </row>
    <row r="299" spans="1:34" x14ac:dyDescent="0.2">
      <c r="A299" s="347">
        <f t="shared" ca="1" si="122"/>
        <v>0.1</v>
      </c>
      <c r="B299" s="304">
        <f t="shared" ca="1" si="123"/>
        <v>18.099999999999959</v>
      </c>
      <c r="D299" s="306">
        <f t="shared" ca="1" si="124"/>
        <v>-0.17285965892942845</v>
      </c>
      <c r="E299" s="307">
        <f t="shared" ca="1" si="125"/>
        <v>-9.9533789310267711</v>
      </c>
      <c r="F299" s="304">
        <f t="shared" ca="1" si="126"/>
        <v>9.9548798388676101</v>
      </c>
      <c r="G299" s="306">
        <f t="shared" ca="1" si="127"/>
        <v>19.10311933741141</v>
      </c>
      <c r="H299" s="307">
        <f t="shared" ca="1" si="128"/>
        <v>14.864136145924627</v>
      </c>
      <c r="I299" s="304">
        <f t="shared" ca="1" si="129"/>
        <v>24.204786960102847</v>
      </c>
      <c r="J299" s="306">
        <f t="shared" ca="1" si="130"/>
        <v>361.01301116196697</v>
      </c>
      <c r="K299" s="307">
        <f t="shared" ca="1" si="131"/>
        <v>1848.96741959971</v>
      </c>
      <c r="L299" s="304">
        <f t="shared" ca="1" si="116"/>
        <v>1883.8818734117701</v>
      </c>
      <c r="M299" s="306">
        <f t="shared" ca="1" si="132"/>
        <v>0.66124387378358818</v>
      </c>
      <c r="N299" s="304">
        <f t="shared" ca="1" si="133"/>
        <v>37.886483196680906</v>
      </c>
      <c r="P299" s="310">
        <f t="shared" ca="1" si="134"/>
        <v>23</v>
      </c>
      <c r="Q299" s="304">
        <f t="shared" ca="1" si="135"/>
        <v>0</v>
      </c>
      <c r="R299" s="306">
        <f t="shared" ca="1" si="136"/>
        <v>0</v>
      </c>
      <c r="S299" s="307">
        <f t="shared" ca="1" si="137"/>
        <v>4.0843000000000034</v>
      </c>
      <c r="T299" s="304">
        <f t="shared" ca="1" si="117"/>
        <v>40.066983000000036</v>
      </c>
      <c r="U299" s="311">
        <f t="shared" ca="1" si="118"/>
        <v>0</v>
      </c>
      <c r="V299" s="306">
        <f t="shared" ca="1" si="119"/>
        <v>1.0176689124010658</v>
      </c>
      <c r="W299" s="304">
        <f t="shared" ca="1" si="120"/>
        <v>0.8706972009246764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1848.96741959971</v>
      </c>
      <c r="AG299" s="306">
        <f t="shared" ca="1" si="143"/>
        <v>-6.4874844118911597</v>
      </c>
      <c r="AH299" s="304">
        <f t="shared" ca="1" si="144"/>
        <v>-0.22458401445244927</v>
      </c>
    </row>
    <row r="300" spans="1:34" x14ac:dyDescent="0.2">
      <c r="A300" s="347">
        <f t="shared" ca="1" si="122"/>
        <v>0.1</v>
      </c>
      <c r="B300" s="304">
        <f t="shared" ca="1" si="123"/>
        <v>18.19999999999996</v>
      </c>
      <c r="D300" s="306">
        <f t="shared" ca="1" si="124"/>
        <v>-0.16824901801289077</v>
      </c>
      <c r="E300" s="307">
        <f t="shared" ca="1" si="125"/>
        <v>-9.9409145520158084</v>
      </c>
      <c r="F300" s="304">
        <f t="shared" ca="1" si="126"/>
        <v>9.9423382492521331</v>
      </c>
      <c r="G300" s="306">
        <f t="shared" ca="1" si="127"/>
        <v>19.086294435610121</v>
      </c>
      <c r="H300" s="307">
        <f t="shared" ca="1" si="128"/>
        <v>13.870044690723047</v>
      </c>
      <c r="I300" s="304">
        <f t="shared" ca="1" si="129"/>
        <v>23.593744404088479</v>
      </c>
      <c r="J300" s="306">
        <f t="shared" ca="1" si="130"/>
        <v>362.92248185061806</v>
      </c>
      <c r="K300" s="307">
        <f t="shared" ca="1" si="131"/>
        <v>1850.4041286415422</v>
      </c>
      <c r="L300" s="304">
        <f t="shared" ca="1" si="116"/>
        <v>1885.6585499836065</v>
      </c>
      <c r="M300" s="306">
        <f t="shared" ca="1" si="132"/>
        <v>0.62842277349238929</v>
      </c>
      <c r="N300" s="304">
        <f t="shared" ca="1" si="133"/>
        <v>36.005972671019613</v>
      </c>
      <c r="P300" s="310">
        <f t="shared" ca="1" si="134"/>
        <v>23</v>
      </c>
      <c r="Q300" s="304">
        <f t="shared" ca="1" si="135"/>
        <v>0</v>
      </c>
      <c r="R300" s="306">
        <f t="shared" ca="1" si="136"/>
        <v>0</v>
      </c>
      <c r="S300" s="307">
        <f t="shared" ca="1" si="137"/>
        <v>4.0843000000000034</v>
      </c>
      <c r="T300" s="304">
        <f t="shared" ca="1" si="117"/>
        <v>40.066983000000036</v>
      </c>
      <c r="U300" s="311">
        <f t="shared" ca="1" si="118"/>
        <v>0</v>
      </c>
      <c r="V300" s="306">
        <f t="shared" ca="1" si="119"/>
        <v>1.0175214523044327</v>
      </c>
      <c r="W300" s="304">
        <f t="shared" ca="1" si="120"/>
        <v>0.82717124021577748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1850.4041286415422</v>
      </c>
      <c r="AG300" s="306">
        <f t="shared" ca="1" si="143"/>
        <v>-6.2374929651116968</v>
      </c>
      <c r="AH300" s="304">
        <f t="shared" ca="1" si="144"/>
        <v>-0.21318150011621959</v>
      </c>
    </row>
    <row r="301" spans="1:34" x14ac:dyDescent="0.2">
      <c r="A301" s="347">
        <f t="shared" ca="1" si="122"/>
        <v>0.1</v>
      </c>
      <c r="B301" s="304">
        <f t="shared" ca="1" si="123"/>
        <v>18.299999999999962</v>
      </c>
      <c r="D301" s="306">
        <f t="shared" ca="1" si="124"/>
        <v>-0.16383343638283085</v>
      </c>
      <c r="E301" s="307">
        <f t="shared" ca="1" si="125"/>
        <v>-9.9290580545705573</v>
      </c>
      <c r="F301" s="304">
        <f t="shared" ca="1" si="126"/>
        <v>9.9304096212547783</v>
      </c>
      <c r="G301" s="306">
        <f t="shared" ca="1" si="127"/>
        <v>19.069911091971839</v>
      </c>
      <c r="H301" s="307">
        <f t="shared" ca="1" si="128"/>
        <v>12.877138885265991</v>
      </c>
      <c r="I301" s="304">
        <f t="shared" ca="1" si="129"/>
        <v>23.010480545311086</v>
      </c>
      <c r="J301" s="306">
        <f t="shared" ca="1" si="130"/>
        <v>364.83029212699716</v>
      </c>
      <c r="K301" s="307">
        <f t="shared" ca="1" si="131"/>
        <v>1851.7414878203417</v>
      </c>
      <c r="L301" s="304">
        <f t="shared" ca="1" si="116"/>
        <v>1887.3387824576071</v>
      </c>
      <c r="M301" s="306">
        <f t="shared" ca="1" si="132"/>
        <v>0.59392792842557629</v>
      </c>
      <c r="N301" s="304">
        <f t="shared" ca="1" si="133"/>
        <v>34.029563633733559</v>
      </c>
      <c r="P301" s="310">
        <f t="shared" ca="1" si="134"/>
        <v>23</v>
      </c>
      <c r="Q301" s="304">
        <f t="shared" ca="1" si="135"/>
        <v>0</v>
      </c>
      <c r="R301" s="306">
        <f t="shared" ca="1" si="136"/>
        <v>0</v>
      </c>
      <c r="S301" s="307">
        <f t="shared" ca="1" si="137"/>
        <v>4.0843000000000034</v>
      </c>
      <c r="T301" s="304">
        <f t="shared" ca="1" si="117"/>
        <v>40.066983000000036</v>
      </c>
      <c r="U301" s="311">
        <f t="shared" ca="1" si="118"/>
        <v>0</v>
      </c>
      <c r="V301" s="306">
        <f t="shared" ca="1" si="119"/>
        <v>1.017384206646023</v>
      </c>
      <c r="W301" s="304">
        <f t="shared" ca="1" si="120"/>
        <v>0.78667342593209078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1851.7414878203417</v>
      </c>
      <c r="AG301" s="306">
        <f t="shared" ca="1" si="143"/>
        <v>-5.9695252159496777</v>
      </c>
      <c r="AH301" s="304">
        <f t="shared" ca="1" si="144"/>
        <v>-0.20252460402413555</v>
      </c>
    </row>
    <row r="302" spans="1:34" x14ac:dyDescent="0.2">
      <c r="A302" s="347">
        <f t="shared" ca="1" si="122"/>
        <v>0.1</v>
      </c>
      <c r="B302" s="304">
        <f t="shared" ca="1" si="123"/>
        <v>18.399999999999963</v>
      </c>
      <c r="D302" s="306">
        <f t="shared" ca="1" si="124"/>
        <v>-0.15962460119878735</v>
      </c>
      <c r="E302" s="307">
        <f t="shared" ca="1" si="125"/>
        <v>-9.9177880305381887</v>
      </c>
      <c r="F302" s="304">
        <f t="shared" ca="1" si="126"/>
        <v>9.9190725086569671</v>
      </c>
      <c r="G302" s="306">
        <f t="shared" ca="1" si="127"/>
        <v>19.053948631851959</v>
      </c>
      <c r="H302" s="307">
        <f t="shared" ca="1" si="128"/>
        <v>11.885360082212172</v>
      </c>
      <c r="I302" s="304">
        <f t="shared" ca="1" si="129"/>
        <v>22.456953104753453</v>
      </c>
      <c r="J302" s="306">
        <f t="shared" ca="1" si="130"/>
        <v>366.73648511318834</v>
      </c>
      <c r="K302" s="307">
        <f t="shared" ca="1" si="131"/>
        <v>1852.9796127687157</v>
      </c>
      <c r="L302" s="304">
        <f t="shared" ca="1" si="116"/>
        <v>1888.9227339543763</v>
      </c>
      <c r="M302" s="306">
        <f t="shared" ca="1" si="132"/>
        <v>0.55771729951413584</v>
      </c>
      <c r="N302" s="304">
        <f t="shared" ca="1" si="133"/>
        <v>31.954847423593623</v>
      </c>
      <c r="P302" s="310">
        <f t="shared" ca="1" si="134"/>
        <v>23</v>
      </c>
      <c r="Q302" s="304">
        <f t="shared" ca="1" si="135"/>
        <v>0</v>
      </c>
      <c r="R302" s="306">
        <f t="shared" ca="1" si="136"/>
        <v>0</v>
      </c>
      <c r="S302" s="307">
        <f t="shared" ca="1" si="137"/>
        <v>4.0843000000000034</v>
      </c>
      <c r="T302" s="304">
        <f t="shared" ca="1" si="117"/>
        <v>40.066983000000036</v>
      </c>
      <c r="U302" s="311">
        <f t="shared" ca="1" si="118"/>
        <v>0</v>
      </c>
      <c r="V302" s="306">
        <f t="shared" ca="1" si="119"/>
        <v>1.017257159813999</v>
      </c>
      <c r="W302" s="304">
        <f t="shared" ca="1" si="120"/>
        <v>0.7491875139102665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1852.9796127687157</v>
      </c>
      <c r="AG302" s="306">
        <f t="shared" ca="1" si="143"/>
        <v>-5.6824871866253108</v>
      </c>
      <c r="AH302" s="304">
        <f t="shared" ca="1" si="144"/>
        <v>-0.19260911929390351</v>
      </c>
    </row>
    <row r="303" spans="1:34" x14ac:dyDescent="0.2">
      <c r="A303" s="347">
        <f t="shared" ca="1" si="122"/>
        <v>0.1</v>
      </c>
      <c r="B303" s="304">
        <f t="shared" ca="1" si="123"/>
        <v>18.499999999999964</v>
      </c>
      <c r="D303" s="306">
        <f t="shared" ca="1" si="124"/>
        <v>-0.15563492270212162</v>
      </c>
      <c r="E303" s="307">
        <f t="shared" ca="1" si="125"/>
        <v>-9.9070810372916487</v>
      </c>
      <c r="F303" s="304">
        <f t="shared" ca="1" si="126"/>
        <v>9.9083034324059867</v>
      </c>
      <c r="G303" s="306">
        <f t="shared" ca="1" si="127"/>
        <v>19.038385139581749</v>
      </c>
      <c r="H303" s="307">
        <f t="shared" ca="1" si="128"/>
        <v>10.894651978483006</v>
      </c>
      <c r="I303" s="304">
        <f t="shared" ca="1" si="129"/>
        <v>21.935212569184525</v>
      </c>
      <c r="J303" s="306">
        <f t="shared" ca="1" si="130"/>
        <v>368.64110180176004</v>
      </c>
      <c r="K303" s="307">
        <f t="shared" ca="1" si="131"/>
        <v>1854.1186133717504</v>
      </c>
      <c r="L303" s="304">
        <f t="shared" ca="1" si="116"/>
        <v>1890.4105623882865</v>
      </c>
      <c r="M303" s="306">
        <f t="shared" ca="1" si="132"/>
        <v>0.51976259679866743</v>
      </c>
      <c r="N303" s="304">
        <f t="shared" ca="1" si="133"/>
        <v>29.780203145323558</v>
      </c>
      <c r="P303" s="310">
        <f t="shared" ca="1" si="134"/>
        <v>23</v>
      </c>
      <c r="Q303" s="304">
        <f t="shared" ca="1" si="135"/>
        <v>0</v>
      </c>
      <c r="R303" s="306">
        <f t="shared" ca="1" si="136"/>
        <v>0</v>
      </c>
      <c r="S303" s="307">
        <f t="shared" ca="1" si="137"/>
        <v>4.0843000000000034</v>
      </c>
      <c r="T303" s="304">
        <f t="shared" ca="1" si="117"/>
        <v>40.066983000000036</v>
      </c>
      <c r="U303" s="311">
        <f t="shared" ca="1" si="118"/>
        <v>0</v>
      </c>
      <c r="V303" s="306">
        <f t="shared" ca="1" si="119"/>
        <v>1.017140297070533</v>
      </c>
      <c r="W303" s="304">
        <f t="shared" ca="1" si="120"/>
        <v>0.71469816437400424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1854.1186133717504</v>
      </c>
      <c r="AG303" s="306">
        <f t="shared" ca="1" si="143"/>
        <v>-5.3753812795202478</v>
      </c>
      <c r="AH303" s="304">
        <f t="shared" ca="1" si="144"/>
        <v>-0.18343106870461667</v>
      </c>
    </row>
    <row r="304" spans="1:34" x14ac:dyDescent="0.2">
      <c r="A304" s="347">
        <f t="shared" ca="1" si="122"/>
        <v>0.1</v>
      </c>
      <c r="B304" s="304">
        <f t="shared" ca="1" si="123"/>
        <v>18.599999999999966</v>
      </c>
      <c r="D304" s="306">
        <f t="shared" ca="1" si="124"/>
        <v>-0.15187744869604208</v>
      </c>
      <c r="E304" s="307">
        <f t="shared" ca="1" si="125"/>
        <v>-9.896911360117576</v>
      </c>
      <c r="F304" s="304">
        <f t="shared" ca="1" si="126"/>
        <v>9.8980766429365836</v>
      </c>
      <c r="G304" s="306">
        <f t="shared" ca="1" si="127"/>
        <v>19.023197394712145</v>
      </c>
      <c r="H304" s="307">
        <f t="shared" ca="1" si="128"/>
        <v>9.9049608424712492</v>
      </c>
      <c r="I304" s="304">
        <f t="shared" ca="1" si="129"/>
        <v>21.447384185701335</v>
      </c>
      <c r="J304" s="306">
        <f t="shared" ca="1" si="130"/>
        <v>370.54418092847476</v>
      </c>
      <c r="K304" s="307">
        <f t="shared" ca="1" si="131"/>
        <v>1855.1585940127982</v>
      </c>
      <c r="L304" s="304">
        <f t="shared" ca="1" si="116"/>
        <v>1891.8024206981809</v>
      </c>
      <c r="M304" s="306">
        <f t="shared" ca="1" si="132"/>
        <v>0.48005285346209464</v>
      </c>
      <c r="N304" s="304">
        <f t="shared" ca="1" si="133"/>
        <v>27.505002446590193</v>
      </c>
      <c r="P304" s="310">
        <f t="shared" ca="1" si="134"/>
        <v>23</v>
      </c>
      <c r="Q304" s="304">
        <f t="shared" ca="1" si="135"/>
        <v>0</v>
      </c>
      <c r="R304" s="306">
        <f t="shared" ca="1" si="136"/>
        <v>0</v>
      </c>
      <c r="S304" s="307">
        <f t="shared" ca="1" si="137"/>
        <v>4.0843000000000034</v>
      </c>
      <c r="T304" s="304">
        <f t="shared" ca="1" si="117"/>
        <v>40.066983000000036</v>
      </c>
      <c r="U304" s="311">
        <f t="shared" ca="1" si="118"/>
        <v>0</v>
      </c>
      <c r="V304" s="306">
        <f t="shared" ca="1" si="119"/>
        <v>1.0170336045249979</v>
      </c>
      <c r="W304" s="304">
        <f t="shared" ca="1" si="120"/>
        <v>0.68319090630454293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 t="e">
        <f t="shared" ca="1" si="141"/>
        <v>#N/A</v>
      </c>
      <c r="AD304" s="323" t="e">
        <f t="shared" ca="1" si="142"/>
        <v>#N/A</v>
      </c>
      <c r="AE304" s="324">
        <f t="shared" ca="1" si="121"/>
        <v>1855.1585940127982</v>
      </c>
      <c r="AG304" s="306">
        <f t="shared" ca="1" si="143"/>
        <v>-5.0473596252358632</v>
      </c>
      <c r="AH304" s="304">
        <f t="shared" ca="1" si="144"/>
        <v>-0.1749866964654907</v>
      </c>
    </row>
    <row r="305" spans="1:34" x14ac:dyDescent="0.2">
      <c r="A305" s="347">
        <f t="shared" ca="1" si="122"/>
        <v>0.1</v>
      </c>
      <c r="B305" s="304">
        <f t="shared" ca="1" si="123"/>
        <v>18.699999999999967</v>
      </c>
      <c r="D305" s="306">
        <f t="shared" ca="1" si="124"/>
        <v>-0.14836573952655285</v>
      </c>
      <c r="E305" s="307">
        <f t="shared" ca="1" si="125"/>
        <v>-9.8872507801860525</v>
      </c>
      <c r="F305" s="304">
        <f t="shared" ca="1" si="126"/>
        <v>9.8883638880734441</v>
      </c>
      <c r="G305" s="306">
        <f t="shared" ca="1" si="127"/>
        <v>19.008360820759489</v>
      </c>
      <c r="H305" s="307">
        <f t="shared" ca="1" si="128"/>
        <v>8.9162357644526438</v>
      </c>
      <c r="I305" s="304">
        <f t="shared" ca="1" si="129"/>
        <v>20.995643388557749</v>
      </c>
      <c r="J305" s="306">
        <f t="shared" ca="1" si="130"/>
        <v>372.44575883924836</v>
      </c>
      <c r="K305" s="307">
        <f t="shared" ca="1" si="131"/>
        <v>1856.0996538431443</v>
      </c>
      <c r="L305" s="304">
        <f t="shared" ca="1" si="116"/>
        <v>1893.0984570998899</v>
      </c>
      <c r="M305" s="306">
        <f t="shared" ca="1" si="132"/>
        <v>0.43859818957101854</v>
      </c>
      <c r="N305" s="304">
        <f t="shared" ca="1" si="133"/>
        <v>25.129825164498161</v>
      </c>
      <c r="P305" s="310">
        <f t="shared" ca="1" si="134"/>
        <v>23</v>
      </c>
      <c r="Q305" s="304">
        <f t="shared" ca="1" si="135"/>
        <v>0</v>
      </c>
      <c r="R305" s="306">
        <f t="shared" ca="1" si="136"/>
        <v>0</v>
      </c>
      <c r="S305" s="307">
        <f t="shared" ca="1" si="137"/>
        <v>4.0843000000000034</v>
      </c>
      <c r="T305" s="304">
        <f t="shared" ca="1" si="117"/>
        <v>40.066983000000036</v>
      </c>
      <c r="U305" s="311">
        <f t="shared" ca="1" si="118"/>
        <v>0</v>
      </c>
      <c r="V305" s="306">
        <f t="shared" ca="1" si="119"/>
        <v>1.0169370691048216</v>
      </c>
      <c r="W305" s="304">
        <f t="shared" ca="1" si="120"/>
        <v>0.65465209951135417</v>
      </c>
      <c r="Y305" s="314" t="str">
        <f t="shared" ca="1" si="138"/>
        <v/>
      </c>
      <c r="Z305" s="315" t="str">
        <f t="shared" ca="1" si="139"/>
        <v>Para</v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 t="e">
        <f t="shared" ca="1" si="121"/>
        <v>#N/A</v>
      </c>
      <c r="AG305" s="306">
        <f t="shared" ca="1" si="143"/>
        <v>-4.697786065409054</v>
      </c>
      <c r="AH305" s="304">
        <f t="shared" ca="1" si="144"/>
        <v>-0.16727245949233463</v>
      </c>
    </row>
    <row r="306" spans="1:34" x14ac:dyDescent="0.2">
      <c r="A306" s="347">
        <f t="shared" ca="1" si="122"/>
        <v>0.1</v>
      </c>
      <c r="B306" s="304">
        <f t="shared" ca="1" si="123"/>
        <v>18.799999999999969</v>
      </c>
      <c r="D306" s="306">
        <f t="shared" ca="1" si="124"/>
        <v>-0.14511369821918482</v>
      </c>
      <c r="E306" s="307">
        <f t="shared" ca="1" si="125"/>
        <v>-9.8780683599272177</v>
      </c>
      <c r="F306" s="304">
        <f t="shared" ca="1" si="126"/>
        <v>9.8791341983397523</v>
      </c>
      <c r="G306" s="306">
        <f t="shared" ca="1" si="127"/>
        <v>18.993849450937571</v>
      </c>
      <c r="H306" s="307">
        <f t="shared" ca="1" si="128"/>
        <v>7.9284289284599216</v>
      </c>
      <c r="I306" s="304">
        <f t="shared" ca="1" si="129"/>
        <v>20.582184097867785</v>
      </c>
      <c r="J306" s="306">
        <f t="shared" ca="1" si="130"/>
        <v>374.34586935283323</v>
      </c>
      <c r="K306" s="307">
        <f t="shared" ca="1" si="131"/>
        <v>1856.9418870777899</v>
      </c>
      <c r="L306" s="304">
        <f t="shared" ca="1" si="116"/>
        <v>1894.2988153629701</v>
      </c>
      <c r="M306" s="306">
        <f t="shared" ca="1" si="132"/>
        <v>0.39543357188387057</v>
      </c>
      <c r="N306" s="304">
        <f t="shared" ca="1" si="133"/>
        <v>22.656674746728836</v>
      </c>
      <c r="P306" s="310">
        <f t="shared" ca="1" si="134"/>
        <v>23</v>
      </c>
      <c r="Q306" s="304">
        <f t="shared" ca="1" si="135"/>
        <v>0</v>
      </c>
      <c r="R306" s="306">
        <f t="shared" ca="1" si="136"/>
        <v>0</v>
      </c>
      <c r="S306" s="307">
        <f t="shared" ca="1" si="137"/>
        <v>4.0843000000000034</v>
      </c>
      <c r="T306" s="304">
        <f t="shared" ca="1" si="117"/>
        <v>40.066983000000036</v>
      </c>
      <c r="U306" s="311">
        <f t="shared" ca="1" si="118"/>
        <v>0</v>
      </c>
      <c r="V306" s="306">
        <f t="shared" ca="1" si="119"/>
        <v>1.0168506785237723</v>
      </c>
      <c r="W306" s="304">
        <f t="shared" ca="1" si="120"/>
        <v>0.62906889412872524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 t="e">
        <f t="shared" ca="1" si="121"/>
        <v>#N/A</v>
      </c>
      <c r="AG306" s="306">
        <f t="shared" ca="1" si="143"/>
        <v>-4.3263051409883859</v>
      </c>
      <c r="AH306" s="304">
        <f t="shared" ca="1" si="144"/>
        <v>-0.16028501812093959</v>
      </c>
    </row>
    <row r="307" spans="1:34" x14ac:dyDescent="0.2">
      <c r="A307" s="347">
        <f t="shared" ca="1" si="122"/>
        <v>0.1</v>
      </c>
      <c r="B307" s="304">
        <f t="shared" ca="1" si="123"/>
        <v>18.89999999999997</v>
      </c>
      <c r="D307" s="306">
        <f t="shared" ca="1" si="124"/>
        <v>-0.14213535204016309</v>
      </c>
      <c r="E307" s="307">
        <f t="shared" ca="1" si="125"/>
        <v>-9.8693302605552891</v>
      </c>
      <c r="F307" s="304">
        <f t="shared" ca="1" si="126"/>
        <v>9.8703537044126186</v>
      </c>
      <c r="G307" s="306">
        <f t="shared" ca="1" si="127"/>
        <v>18.979635915733553</v>
      </c>
      <c r="H307" s="307">
        <f t="shared" ca="1" si="128"/>
        <v>6.9414959024043927</v>
      </c>
      <c r="I307" s="304">
        <f t="shared" ca="1" si="129"/>
        <v>20.209179717566471</v>
      </c>
      <c r="J307" s="306">
        <f t="shared" ca="1" si="130"/>
        <v>376.24454362116677</v>
      </c>
      <c r="K307" s="307">
        <f t="shared" ca="1" si="131"/>
        <v>1857.6853833193331</v>
      </c>
      <c r="L307" s="304">
        <f t="shared" ca="1" si="116"/>
        <v>1895.4036351139032</v>
      </c>
      <c r="M307" s="306">
        <f t="shared" ca="1" si="132"/>
        <v>0.35062230611238521</v>
      </c>
      <c r="N307" s="304">
        <f t="shared" ca="1" si="133"/>
        <v>20.089178343383679</v>
      </c>
      <c r="P307" s="310">
        <f t="shared" ca="1" si="134"/>
        <v>23</v>
      </c>
      <c r="Q307" s="304">
        <f t="shared" ca="1" si="135"/>
        <v>0</v>
      </c>
      <c r="R307" s="306">
        <f t="shared" ca="1" si="136"/>
        <v>0</v>
      </c>
      <c r="S307" s="307">
        <f t="shared" ca="1" si="137"/>
        <v>4.0843000000000034</v>
      </c>
      <c r="T307" s="304">
        <f t="shared" ca="1" si="117"/>
        <v>40.066983000000036</v>
      </c>
      <c r="U307" s="311">
        <f t="shared" ca="1" si="118"/>
        <v>0</v>
      </c>
      <c r="V307" s="306">
        <f t="shared" ca="1" si="119"/>
        <v>1.0167744212474707</v>
      </c>
      <c r="W307" s="304">
        <f t="shared" ca="1" si="120"/>
        <v>0.60642918729454554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 t="e">
        <f t="shared" ca="1" si="141"/>
        <v>#N/A</v>
      </c>
      <c r="AD307" s="323" t="e">
        <f t="shared" ca="1" si="142"/>
        <v>#N/A</v>
      </c>
      <c r="AE307" s="324" t="e">
        <f t="shared" ca="1" si="121"/>
        <v>#N/A</v>
      </c>
      <c r="AG307" s="306">
        <f t="shared" ca="1" si="143"/>
        <v>-3.9329150218321161</v>
      </c>
      <c r="AH307" s="304">
        <f t="shared" ca="1" si="144"/>
        <v>-0.15402122619022224</v>
      </c>
    </row>
    <row r="308" spans="1:34" x14ac:dyDescent="0.2">
      <c r="A308" s="347">
        <f t="shared" ca="1" si="122"/>
        <v>0.1</v>
      </c>
      <c r="B308" s="304">
        <f t="shared" ca="1" si="123"/>
        <v>18.999999999999972</v>
      </c>
      <c r="D308" s="306">
        <f t="shared" ca="1" si="124"/>
        <v>-0.1394445844265465</v>
      </c>
      <c r="E308" s="307">
        <f t="shared" ca="1" si="125"/>
        <v>-9.8609996090392311</v>
      </c>
      <c r="F308" s="304">
        <f t="shared" ca="1" si="126"/>
        <v>9.8619855040249256</v>
      </c>
      <c r="G308" s="306">
        <f t="shared" ca="1" si="127"/>
        <v>18.965691457290898</v>
      </c>
      <c r="H308" s="307">
        <f t="shared" ca="1" si="128"/>
        <v>5.9553959415004698</v>
      </c>
      <c r="I308" s="304">
        <f t="shared" ca="1" si="129"/>
        <v>19.878737215255832</v>
      </c>
      <c r="J308" s="306">
        <f t="shared" ca="1" si="130"/>
        <v>378.141809989818</v>
      </c>
      <c r="K308" s="307">
        <f t="shared" ca="1" si="131"/>
        <v>1858.3302279115285</v>
      </c>
      <c r="L308" s="304">
        <f t="shared" ca="1" si="116"/>
        <v>1896.4130521677205</v>
      </c>
      <c r="M308" s="306">
        <f t="shared" ca="1" si="132"/>
        <v>0.30425893487078876</v>
      </c>
      <c r="N308" s="304">
        <f t="shared" ca="1" si="133"/>
        <v>17.432752847241986</v>
      </c>
      <c r="P308" s="310">
        <f t="shared" ca="1" si="134"/>
        <v>23</v>
      </c>
      <c r="Q308" s="304">
        <f t="shared" ca="1" si="135"/>
        <v>0</v>
      </c>
      <c r="R308" s="306">
        <f t="shared" ca="1" si="136"/>
        <v>0</v>
      </c>
      <c r="S308" s="307">
        <f t="shared" ca="1" si="137"/>
        <v>4.0843000000000034</v>
      </c>
      <c r="T308" s="304">
        <f t="shared" ca="1" si="117"/>
        <v>40.066983000000036</v>
      </c>
      <c r="U308" s="311">
        <f t="shared" ca="1" si="118"/>
        <v>0</v>
      </c>
      <c r="V308" s="306">
        <f t="shared" ca="1" si="119"/>
        <v>1.0167082864559573</v>
      </c>
      <c r="W308" s="304">
        <f t="shared" ca="1" si="120"/>
        <v>0.58672157681717574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>
        <f t="shared" ca="1" si="141"/>
        <v>18.999999999999972</v>
      </c>
      <c r="AD308" s="323">
        <f t="shared" ca="1" si="142"/>
        <v>378.141809989818</v>
      </c>
      <c r="AE308" s="324" t="e">
        <f t="shared" ca="1" si="121"/>
        <v>#N/A</v>
      </c>
      <c r="AG308" s="306">
        <f t="shared" ca="1" si="143"/>
        <v>-3.5180396639648981</v>
      </c>
      <c r="AH308" s="304">
        <f t="shared" ca="1" si="144"/>
        <v>-0.14847812043545897</v>
      </c>
    </row>
    <row r="309" spans="1:34" x14ac:dyDescent="0.2">
      <c r="A309" s="347">
        <f t="shared" ca="1" si="122"/>
        <v>0.1</v>
      </c>
      <c r="B309" s="304">
        <f t="shared" ca="1" si="123"/>
        <v>19.099999999999973</v>
      </c>
      <c r="D309" s="306">
        <f t="shared" ca="1" si="124"/>
        <v>-0.13705482004551181</v>
      </c>
      <c r="E309" s="307">
        <f t="shared" ca="1" si="125"/>
        <v>-9.8530364334936156</v>
      </c>
      <c r="F309" s="304">
        <f t="shared" ca="1" si="126"/>
        <v>9.8539895972875016</v>
      </c>
      <c r="G309" s="306">
        <f t="shared" ca="1" si="127"/>
        <v>18.951985975286348</v>
      </c>
      <c r="H309" s="307">
        <f t="shared" ca="1" si="128"/>
        <v>4.9700922981511084</v>
      </c>
      <c r="I309" s="304">
        <f t="shared" ca="1" si="129"/>
        <v>19.592845374258211</v>
      </c>
      <c r="J309" s="306">
        <f t="shared" ca="1" si="130"/>
        <v>380.03769386144688</v>
      </c>
      <c r="K309" s="307">
        <f t="shared" ca="1" si="131"/>
        <v>1858.876502323511</v>
      </c>
      <c r="L309" s="304">
        <f t="shared" ca="1" si="116"/>
        <v>1897.3271988895369</v>
      </c>
      <c r="M309" s="306">
        <f t="shared" ca="1" si="132"/>
        <v>0.25647117257260488</v>
      </c>
      <c r="N309" s="304">
        <f t="shared" ca="1" si="133"/>
        <v>14.694715755181656</v>
      </c>
      <c r="P309" s="310">
        <f t="shared" ca="1" si="134"/>
        <v>23</v>
      </c>
      <c r="Q309" s="304">
        <f t="shared" ca="1" si="135"/>
        <v>0</v>
      </c>
      <c r="R309" s="306">
        <f t="shared" ca="1" si="136"/>
        <v>0</v>
      </c>
      <c r="S309" s="307">
        <f t="shared" ca="1" si="137"/>
        <v>4.0843000000000034</v>
      </c>
      <c r="T309" s="304">
        <f t="shared" ca="1" si="117"/>
        <v>40.066983000000036</v>
      </c>
      <c r="U309" s="311">
        <f t="shared" ca="1" si="118"/>
        <v>0</v>
      </c>
      <c r="V309" s="306">
        <f t="shared" ca="1" si="119"/>
        <v>1.0166522640032072</v>
      </c>
      <c r="W309" s="304">
        <f t="shared" ca="1" si="120"/>
        <v>0.56993531170712064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 t="e">
        <f t="shared" ca="1" si="121"/>
        <v>#N/A</v>
      </c>
      <c r="AG309" s="306">
        <f t="shared" ca="1" si="143"/>
        <v>-3.0825938264415664</v>
      </c>
      <c r="AH309" s="304">
        <f t="shared" ca="1" si="144"/>
        <v>-0.14365290914408227</v>
      </c>
    </row>
    <row r="310" spans="1:34" x14ac:dyDescent="0.2">
      <c r="A310" s="347">
        <f t="shared" ca="1" si="122"/>
        <v>0.1</v>
      </c>
      <c r="B310" s="304">
        <f t="shared" ca="1" si="123"/>
        <v>19.199999999999974</v>
      </c>
      <c r="D310" s="306">
        <f t="shared" ca="1" si="124"/>
        <v>-0.13497867059042329</v>
      </c>
      <c r="E310" s="307">
        <f t="shared" ca="1" si="125"/>
        <v>-9.8453976861312036</v>
      </c>
      <c r="F310" s="304">
        <f t="shared" ca="1" si="126"/>
        <v>9.8463229095735034</v>
      </c>
      <c r="G310" s="306">
        <f t="shared" ca="1" si="127"/>
        <v>18.938488108227308</v>
      </c>
      <c r="H310" s="307">
        <f t="shared" ca="1" si="128"/>
        <v>3.9855525295379879</v>
      </c>
      <c r="I310" s="304">
        <f t="shared" ca="1" si="129"/>
        <v>19.353319115623908</v>
      </c>
      <c r="J310" s="306">
        <f t="shared" ca="1" si="130"/>
        <v>381.93221756562258</v>
      </c>
      <c r="K310" s="307">
        <f t="shared" ca="1" si="131"/>
        <v>1859.3242845648954</v>
      </c>
      <c r="L310" s="304">
        <f t="shared" ca="1" si="116"/>
        <v>1898.1462045868211</v>
      </c>
      <c r="M310" s="306">
        <f t="shared" ca="1" si="132"/>
        <v>0.20742050429718226</v>
      </c>
      <c r="N310" s="304">
        <f t="shared" ca="1" si="133"/>
        <v>11.884319480703699</v>
      </c>
      <c r="P310" s="310">
        <f t="shared" ca="1" si="134"/>
        <v>23</v>
      </c>
      <c r="Q310" s="304">
        <f t="shared" ca="1" si="135"/>
        <v>0</v>
      </c>
      <c r="R310" s="306">
        <f t="shared" ca="1" si="136"/>
        <v>0</v>
      </c>
      <c r="S310" s="307">
        <f t="shared" ca="1" si="137"/>
        <v>4.0843000000000034</v>
      </c>
      <c r="T310" s="304">
        <f t="shared" ca="1" si="117"/>
        <v>40.066983000000036</v>
      </c>
      <c r="U310" s="311">
        <f t="shared" ca="1" si="118"/>
        <v>0</v>
      </c>
      <c r="V310" s="306">
        <f t="shared" ca="1" si="119"/>
        <v>1.0166063443735738</v>
      </c>
      <c r="W310" s="304">
        <f t="shared" ca="1" si="120"/>
        <v>0.55606023954328643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 t="e">
        <f t="shared" ca="1" si="121"/>
        <v>#N/A</v>
      </c>
      <c r="AG310" s="306">
        <f t="shared" ca="1" si="143"/>
        <v>-2.6280332488979994</v>
      </c>
      <c r="AH310" s="304">
        <f t="shared" ca="1" si="144"/>
        <v>-0.13954296004385577</v>
      </c>
    </row>
    <row r="311" spans="1:34" x14ac:dyDescent="0.2">
      <c r="A311" s="347">
        <f t="shared" ca="1" si="122"/>
        <v>0.1</v>
      </c>
      <c r="B311" s="304">
        <f t="shared" ca="1" si="123"/>
        <v>19.299999999999976</v>
      </c>
      <c r="D311" s="306">
        <f t="shared" ca="1" si="124"/>
        <v>-0.13322755443443118</v>
      </c>
      <c r="E311" s="307">
        <f t="shared" ca="1" si="125"/>
        <v>-9.8380373709636117</v>
      </c>
      <c r="F311" s="304">
        <f t="shared" ca="1" si="126"/>
        <v>9.8389394191516999</v>
      </c>
      <c r="G311" s="306">
        <f t="shared" ca="1" si="127"/>
        <v>18.925165352783864</v>
      </c>
      <c r="H311" s="307">
        <f t="shared" ca="1" si="128"/>
        <v>3.0017487924416266</v>
      </c>
      <c r="I311" s="304">
        <f t="shared" ca="1" si="129"/>
        <v>19.161742599334112</v>
      </c>
      <c r="J311" s="306">
        <f t="shared" ca="1" si="130"/>
        <v>383.82540023867313</v>
      </c>
      <c r="K311" s="307">
        <f t="shared" ca="1" si="131"/>
        <v>1859.6736496309943</v>
      </c>
      <c r="L311" s="304">
        <f t="shared" ca="1" si="116"/>
        <v>1898.8701959323707</v>
      </c>
      <c r="M311" s="306">
        <f t="shared" ca="1" si="132"/>
        <v>0.15730112432839233</v>
      </c>
      <c r="N311" s="304">
        <f t="shared" ca="1" si="133"/>
        <v>9.012690536679516</v>
      </c>
      <c r="P311" s="310">
        <f t="shared" ca="1" si="134"/>
        <v>23</v>
      </c>
      <c r="Q311" s="304">
        <f t="shared" ca="1" si="135"/>
        <v>0</v>
      </c>
      <c r="R311" s="306">
        <f t="shared" ca="1" si="136"/>
        <v>0</v>
      </c>
      <c r="S311" s="307">
        <f t="shared" ca="1" si="137"/>
        <v>4.0843000000000034</v>
      </c>
      <c r="T311" s="304">
        <f t="shared" ca="1" si="117"/>
        <v>40.066983000000036</v>
      </c>
      <c r="U311" s="311">
        <f t="shared" ca="1" si="118"/>
        <v>0</v>
      </c>
      <c r="V311" s="306">
        <f t="shared" ca="1" si="119"/>
        <v>1.0165705186352201</v>
      </c>
      <c r="W311" s="304">
        <f t="shared" ca="1" si="120"/>
        <v>0.54508675075759083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 t="e">
        <f t="shared" ca="1" si="121"/>
        <v>#N/A</v>
      </c>
      <c r="AG311" s="306">
        <f t="shared" ca="1" si="143"/>
        <v>-2.1563817005005026</v>
      </c>
      <c r="AH311" s="304">
        <f t="shared" ca="1" si="144"/>
        <v>-0.13614578741602867</v>
      </c>
    </row>
    <row r="312" spans="1:34" x14ac:dyDescent="0.2">
      <c r="A312" s="347">
        <f t="shared" ca="1" si="122"/>
        <v>0.1</v>
      </c>
      <c r="B312" s="304">
        <f t="shared" ca="1" si="123"/>
        <v>19.399999999999977</v>
      </c>
      <c r="D312" s="306">
        <f t="shared" ca="1" si="124"/>
        <v>-0.13181130878216069</v>
      </c>
      <c r="E312" s="307">
        <f t="shared" ca="1" si="125"/>
        <v>-9.8309067889020483</v>
      </c>
      <c r="F312" s="304">
        <f t="shared" ca="1" si="126"/>
        <v>9.8317904022209124</v>
      </c>
      <c r="G312" s="306">
        <f t="shared" ca="1" si="127"/>
        <v>18.911984221905648</v>
      </c>
      <c r="H312" s="307">
        <f t="shared" ca="1" si="128"/>
        <v>2.0186581135514219</v>
      </c>
      <c r="I312" s="304">
        <f t="shared" ca="1" si="129"/>
        <v>19.019414496482671</v>
      </c>
      <c r="J312" s="306">
        <f t="shared" ca="1" si="130"/>
        <v>385.71725771740762</v>
      </c>
      <c r="K312" s="307">
        <f t="shared" ca="1" si="131"/>
        <v>1859.9246699762939</v>
      </c>
      <c r="L312" s="304">
        <f t="shared" ca="1" si="116"/>
        <v>1899.4992974169438</v>
      </c>
      <c r="M312" s="306">
        <f t="shared" ca="1" si="132"/>
        <v>0.10633700041108445</v>
      </c>
      <c r="N312" s="304">
        <f t="shared" ca="1" si="133"/>
        <v>6.092661329636039</v>
      </c>
      <c r="P312" s="310">
        <f t="shared" ca="1" si="134"/>
        <v>23</v>
      </c>
      <c r="Q312" s="304">
        <f t="shared" ca="1" si="135"/>
        <v>0</v>
      </c>
      <c r="R312" s="306">
        <f t="shared" ca="1" si="136"/>
        <v>0</v>
      </c>
      <c r="S312" s="307">
        <f t="shared" ca="1" si="137"/>
        <v>4.0843000000000034</v>
      </c>
      <c r="T312" s="304">
        <f t="shared" ca="1" si="117"/>
        <v>40.066983000000036</v>
      </c>
      <c r="U312" s="311">
        <f t="shared" ca="1" si="118"/>
        <v>0</v>
      </c>
      <c r="V312" s="306">
        <f t="shared" ca="1" si="119"/>
        <v>1.0165447783907271</v>
      </c>
      <c r="W312" s="304">
        <f t="shared" ca="1" si="120"/>
        <v>0.53700572005253899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 t="e">
        <f t="shared" ca="1" si="121"/>
        <v>#N/A</v>
      </c>
      <c r="AG312" s="306">
        <f t="shared" ca="1" si="143"/>
        <v>-1.6702271847328929</v>
      </c>
      <c r="AH312" s="304">
        <f t="shared" ca="1" si="144"/>
        <v>-0.13345903845397997</v>
      </c>
    </row>
    <row r="313" spans="1:34" x14ac:dyDescent="0.2">
      <c r="A313" s="347">
        <f t="shared" ca="1" si="122"/>
        <v>0.1</v>
      </c>
      <c r="B313" s="304">
        <f t="shared" ca="1" si="123"/>
        <v>19.499999999999979</v>
      </c>
      <c r="D313" s="306">
        <f t="shared" ca="1" si="124"/>
        <v>-0.13073781757485506</v>
      </c>
      <c r="E313" s="307">
        <f t="shared" ca="1" si="125"/>
        <v>-9.8239549056883106</v>
      </c>
      <c r="F313" s="304">
        <f t="shared" ca="1" si="126"/>
        <v>9.8248248007759234</v>
      </c>
      <c r="G313" s="306">
        <f t="shared" ca="1" si="127"/>
        <v>18.898910440148164</v>
      </c>
      <c r="H313" s="307">
        <f t="shared" ca="1" si="128"/>
        <v>1.0362626229825906</v>
      </c>
      <c r="I313" s="304">
        <f t="shared" ca="1" si="129"/>
        <v>18.927299227531961</v>
      </c>
      <c r="J313" s="306">
        <f t="shared" ca="1" si="130"/>
        <v>387.60780245051029</v>
      </c>
      <c r="K313" s="307">
        <f t="shared" ca="1" si="131"/>
        <v>1860.0774160131207</v>
      </c>
      <c r="L313" s="304">
        <f t="shared" ca="1" si="116"/>
        <v>1900.0336318293321</v>
      </c>
      <c r="M313" s="306">
        <f t="shared" ca="1" si="132"/>
        <v>5.4777018813704913E-2</v>
      </c>
      <c r="N313" s="304">
        <f t="shared" ca="1" si="133"/>
        <v>3.1384919923339991</v>
      </c>
      <c r="P313" s="310">
        <f t="shared" ca="1" si="134"/>
        <v>23</v>
      </c>
      <c r="Q313" s="304">
        <f t="shared" ca="1" si="135"/>
        <v>0</v>
      </c>
      <c r="R313" s="306">
        <f t="shared" ca="1" si="136"/>
        <v>0</v>
      </c>
      <c r="S313" s="307">
        <f t="shared" ca="1" si="137"/>
        <v>4.0843000000000034</v>
      </c>
      <c r="T313" s="304">
        <f t="shared" ca="1" si="117"/>
        <v>40.066983000000036</v>
      </c>
      <c r="U313" s="311">
        <f t="shared" ca="1" si="118"/>
        <v>0</v>
      </c>
      <c r="V313" s="306">
        <f t="shared" ca="1" si="119"/>
        <v>1.0165291157251859</v>
      </c>
      <c r="W313" s="304">
        <f t="shared" ca="1" si="120"/>
        <v>0.53180844530688309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 t="e">
        <f t="shared" ca="1" si="121"/>
        <v>#N/A</v>
      </c>
      <c r="AG313" s="306">
        <f t="shared" ca="1" si="143"/>
        <v>-1.1726816209214928</v>
      </c>
      <c r="AH313" s="304">
        <f t="shared" ca="1" si="144"/>
        <v>-0.13148047891989778</v>
      </c>
    </row>
    <row r="314" spans="1:34" x14ac:dyDescent="0.2">
      <c r="A314" s="347">
        <f t="shared" ca="1" si="122"/>
        <v>0.1</v>
      </c>
      <c r="B314" s="304">
        <f t="shared" ca="1" si="123"/>
        <v>19.59999999999998</v>
      </c>
      <c r="D314" s="306">
        <f t="shared" ca="1" si="124"/>
        <v>-0.1300126810886372</v>
      </c>
      <c r="E314" s="307">
        <f t="shared" ca="1" si="125"/>
        <v>-9.8171288385831872</v>
      </c>
      <c r="F314" s="304">
        <f t="shared" ca="1" si="126"/>
        <v>9.8179897092320036</v>
      </c>
      <c r="G314" s="306">
        <f t="shared" ca="1" si="127"/>
        <v>18.885909172039302</v>
      </c>
      <c r="H314" s="307">
        <f t="shared" ca="1" si="128"/>
        <v>5.4549739124271857E-2</v>
      </c>
      <c r="I314" s="304">
        <f t="shared" ca="1" si="129"/>
        <v>18.885987952144752</v>
      </c>
      <c r="J314" s="306">
        <f t="shared" ca="1" si="130"/>
        <v>389.49704343111966</v>
      </c>
      <c r="K314" s="307">
        <f t="shared" ca="1" si="131"/>
        <v>1860.1319566312261</v>
      </c>
      <c r="L314" s="304">
        <f t="shared" ca="1" si="116"/>
        <v>1900.4733207604618</v>
      </c>
      <c r="M314" s="306">
        <f t="shared" ca="1" si="132"/>
        <v>2.8883749746820347E-3</v>
      </c>
      <c r="N314" s="304">
        <f t="shared" ca="1" si="133"/>
        <v>0.16549169570048661</v>
      </c>
      <c r="P314" s="310">
        <f t="shared" ca="1" si="134"/>
        <v>23</v>
      </c>
      <c r="Q314" s="304">
        <f t="shared" ca="1" si="135"/>
        <v>0</v>
      </c>
      <c r="R314" s="306">
        <f t="shared" ca="1" si="136"/>
        <v>0</v>
      </c>
      <c r="S314" s="307">
        <f t="shared" ca="1" si="137"/>
        <v>4.0843000000000034</v>
      </c>
      <c r="T314" s="304">
        <f t="shared" ca="1" si="117"/>
        <v>40.066983000000036</v>
      </c>
      <c r="U314" s="311">
        <f t="shared" ca="1" si="118"/>
        <v>0</v>
      </c>
      <c r="V314" s="306">
        <f t="shared" ca="1" si="119"/>
        <v>1.0165235231521992</v>
      </c>
      <c r="W314" s="304">
        <f t="shared" ca="1" si="120"/>
        <v>0.5294865844645954</v>
      </c>
      <c r="Y314" s="314" t="str">
        <f t="shared" ca="1" si="138"/>
        <v>Apogée</v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 t="e">
        <f t="shared" ca="1" si="121"/>
        <v>#N/A</v>
      </c>
      <c r="AG314" s="306">
        <f t="shared" ca="1" si="143"/>
        <v>-0.66730184505319268</v>
      </c>
      <c r="AH314" s="304">
        <f t="shared" ca="1" si="144"/>
        <v>-0.13020797818644142</v>
      </c>
    </row>
    <row r="315" spans="1:34" x14ac:dyDescent="0.2">
      <c r="A315" s="347">
        <f t="shared" ca="1" si="122"/>
        <v>0.1</v>
      </c>
      <c r="B315" s="304">
        <f t="shared" ca="1" si="123"/>
        <v>19.699999999999982</v>
      </c>
      <c r="D315" s="306">
        <f t="shared" ca="1" si="124"/>
        <v>-0.12963895301266323</v>
      </c>
      <c r="E315" s="307">
        <f t="shared" ca="1" si="125"/>
        <v>-9.8103744469489271</v>
      </c>
      <c r="F315" s="304">
        <f t="shared" ca="1" si="126"/>
        <v>9.8112309649445457</v>
      </c>
      <c r="G315" s="306">
        <f t="shared" ca="1" si="127"/>
        <v>18.872945276738037</v>
      </c>
      <c r="H315" s="307">
        <f t="shared" ca="1" si="128"/>
        <v>-0.92648770557062088</v>
      </c>
      <c r="I315" s="304">
        <f t="shared" ca="1" si="129"/>
        <v>18.895672596849312</v>
      </c>
      <c r="J315" s="306">
        <f t="shared" ca="1" si="130"/>
        <v>391.38498615355854</v>
      </c>
      <c r="K315" s="307">
        <f t="shared" ca="1" si="131"/>
        <v>1860.0883597329039</v>
      </c>
      <c r="L315" s="304">
        <f t="shared" ca="1" si="116"/>
        <v>1900.8184851269375</v>
      </c>
      <c r="M315" s="306">
        <f t="shared" ca="1" si="132"/>
        <v>-4.9051407562911292E-2</v>
      </c>
      <c r="N315" s="304">
        <f t="shared" ca="1" si="133"/>
        <v>-2.8104386325309041</v>
      </c>
      <c r="P315" s="310">
        <f t="shared" ca="1" si="134"/>
        <v>23</v>
      </c>
      <c r="Q315" s="304">
        <f t="shared" ca="1" si="135"/>
        <v>0</v>
      </c>
      <c r="R315" s="306">
        <f t="shared" ca="1" si="136"/>
        <v>0</v>
      </c>
      <c r="S315" s="307">
        <f t="shared" ca="1" si="137"/>
        <v>4.0843000000000034</v>
      </c>
      <c r="T315" s="304">
        <f t="shared" ca="1" si="117"/>
        <v>40.066983000000036</v>
      </c>
      <c r="U315" s="311">
        <f t="shared" ca="1" si="118"/>
        <v>0</v>
      </c>
      <c r="V315" s="306">
        <f t="shared" ca="1" si="119"/>
        <v>1.0165279935583345</v>
      </c>
      <c r="W315" s="304">
        <f t="shared" ca="1" si="120"/>
        <v>0.53003209103009374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 t="e">
        <f t="shared" ca="1" si="121"/>
        <v>#N/A</v>
      </c>
      <c r="AG315" s="306">
        <f t="shared" ca="1" si="143"/>
        <v>-0.15797441288789446</v>
      </c>
      <c r="AH315" s="304">
        <f t="shared" ca="1" si="144"/>
        <v>-0.12963949378463752</v>
      </c>
    </row>
    <row r="316" spans="1:34" x14ac:dyDescent="0.2">
      <c r="A316" s="347">
        <f t="shared" ca="1" si="122"/>
        <v>0.1</v>
      </c>
      <c r="B316" s="304">
        <f t="shared" ca="1" si="123"/>
        <v>19.799999999999983</v>
      </c>
      <c r="D316" s="306">
        <f t="shared" ca="1" si="124"/>
        <v>-0.12961696729128463</v>
      </c>
      <c r="E316" s="307">
        <f t="shared" ca="1" si="125"/>
        <v>-9.803637001280519</v>
      </c>
      <c r="F316" s="304">
        <f t="shared" ca="1" si="126"/>
        <v>9.804493817178237</v>
      </c>
      <c r="G316" s="306">
        <f t="shared" ca="1" si="127"/>
        <v>18.859983580008908</v>
      </c>
      <c r="H316" s="307">
        <f t="shared" ca="1" si="128"/>
        <v>-1.906851405698673</v>
      </c>
      <c r="I316" s="304">
        <f t="shared" ca="1" si="129"/>
        <v>18.956135231676857</v>
      </c>
      <c r="J316" s="306">
        <f t="shared" ca="1" si="130"/>
        <v>393.27163259639588</v>
      </c>
      <c r="K316" s="307">
        <f t="shared" ca="1" si="131"/>
        <v>1859.9466927773403</v>
      </c>
      <c r="L316" s="304">
        <f t="shared" ca="1" si="116"/>
        <v>1901.0692457084253</v>
      </c>
      <c r="M316" s="306">
        <f t="shared" ca="1" si="132"/>
        <v>-0.10076326180252758</v>
      </c>
      <c r="N316" s="304">
        <f t="shared" ca="1" si="133"/>
        <v>-5.7733096312566099</v>
      </c>
      <c r="P316" s="310">
        <f t="shared" ca="1" si="134"/>
        <v>23</v>
      </c>
      <c r="Q316" s="304">
        <f t="shared" ca="1" si="135"/>
        <v>0</v>
      </c>
      <c r="R316" s="306">
        <f t="shared" ca="1" si="136"/>
        <v>0</v>
      </c>
      <c r="S316" s="307">
        <f t="shared" ca="1" si="137"/>
        <v>4.0843000000000034</v>
      </c>
      <c r="T316" s="304">
        <f t="shared" ca="1" si="117"/>
        <v>40.066983000000036</v>
      </c>
      <c r="U316" s="311">
        <f t="shared" ca="1" si="118"/>
        <v>0</v>
      </c>
      <c r="V316" s="306">
        <f t="shared" ca="1" si="119"/>
        <v>1.0165425201466709</v>
      </c>
      <c r="W316" s="304">
        <f t="shared" ca="1" si="120"/>
        <v>0.53343714889549698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 t="e">
        <f t="shared" ca="1" si="121"/>
        <v>#N/A</v>
      </c>
      <c r="AG316" s="306">
        <f t="shared" ca="1" si="143"/>
        <v>0.35122831362166401</v>
      </c>
      <c r="AH316" s="304">
        <f t="shared" ca="1" si="144"/>
        <v>-0.12977305561053137</v>
      </c>
    </row>
    <row r="317" spans="1:34" x14ac:dyDescent="0.2">
      <c r="A317" s="347">
        <f t="shared" ca="1" si="122"/>
        <v>0.1</v>
      </c>
      <c r="B317" s="304">
        <f t="shared" ca="1" si="123"/>
        <v>19.899999999999984</v>
      </c>
      <c r="D317" s="306">
        <f t="shared" ca="1" si="124"/>
        <v>-0.12994427027108865</v>
      </c>
      <c r="E317" s="307">
        <f t="shared" ca="1" si="125"/>
        <v>-9.7968618965982799</v>
      </c>
      <c r="F317" s="304">
        <f t="shared" ca="1" si="126"/>
        <v>9.7977236404378907</v>
      </c>
      <c r="G317" s="306">
        <f t="shared" ca="1" si="127"/>
        <v>18.846989152981799</v>
      </c>
      <c r="H317" s="307">
        <f t="shared" ca="1" si="128"/>
        <v>-2.8865375953585009</v>
      </c>
      <c r="I317" s="304">
        <f t="shared" ca="1" si="129"/>
        <v>19.066753772523303</v>
      </c>
      <c r="J317" s="306">
        <f t="shared" ca="1" si="130"/>
        <v>395.15698123304543</v>
      </c>
      <c r="K317" s="307">
        <f t="shared" ca="1" si="131"/>
        <v>1859.7070233272875</v>
      </c>
      <c r="L317" s="304">
        <f t="shared" ca="1" si="116"/>
        <v>1901.2257236924956</v>
      </c>
      <c r="M317" s="306">
        <f t="shared" ca="1" si="132"/>
        <v>-0.15197548323337931</v>
      </c>
      <c r="N317" s="304">
        <f t="shared" ca="1" si="133"/>
        <v>-8.7075537787338408</v>
      </c>
      <c r="P317" s="310">
        <f t="shared" ca="1" si="134"/>
        <v>23</v>
      </c>
      <c r="Q317" s="304">
        <f t="shared" ca="1" si="135"/>
        <v>0</v>
      </c>
      <c r="R317" s="306">
        <f t="shared" ca="1" si="136"/>
        <v>0</v>
      </c>
      <c r="S317" s="307">
        <f t="shared" ca="1" si="137"/>
        <v>4.0843000000000034</v>
      </c>
      <c r="T317" s="304">
        <f t="shared" ca="1" si="117"/>
        <v>40.066983000000036</v>
      </c>
      <c r="U317" s="311">
        <f t="shared" ca="1" si="118"/>
        <v>0</v>
      </c>
      <c r="V317" s="306">
        <f t="shared" ca="1" si="119"/>
        <v>1.0165670963801265</v>
      </c>
      <c r="W317" s="304">
        <f t="shared" ca="1" si="120"/>
        <v>0.53969410729265399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 t="e">
        <f t="shared" ca="1" si="121"/>
        <v>#N/A</v>
      </c>
      <c r="AG317" s="306">
        <f t="shared" ca="1" si="143"/>
        <v>0.85620897281916497</v>
      </c>
      <c r="AH317" s="304">
        <f t="shared" ca="1" si="144"/>
        <v>-0.13060674996829238</v>
      </c>
    </row>
    <row r="318" spans="1:34" x14ac:dyDescent="0.2">
      <c r="A318" s="347">
        <f t="shared" ca="1" si="122"/>
        <v>0.1</v>
      </c>
      <c r="B318" s="304">
        <f t="shared" ca="1" si="123"/>
        <v>19.999999999999986</v>
      </c>
      <c r="D318" s="306">
        <f t="shared" ca="1" si="124"/>
        <v>-0.13061566452145407</v>
      </c>
      <c r="E318" s="307">
        <f t="shared" ca="1" si="125"/>
        <v>-9.7899953709781684</v>
      </c>
      <c r="F318" s="304">
        <f t="shared" ca="1" si="126"/>
        <v>9.790866652936927</v>
      </c>
      <c r="G318" s="306">
        <f t="shared" ca="1" si="127"/>
        <v>18.833927586529654</v>
      </c>
      <c r="H318" s="307">
        <f t="shared" ca="1" si="128"/>
        <v>-3.8655371324563177</v>
      </c>
      <c r="I318" s="304">
        <f t="shared" ca="1" si="129"/>
        <v>19.226523493784345</v>
      </c>
      <c r="J318" s="306">
        <f t="shared" ca="1" si="130"/>
        <v>397.04102707002102</v>
      </c>
      <c r="K318" s="307">
        <f t="shared" ca="1" si="131"/>
        <v>1859.3694195908968</v>
      </c>
      <c r="L318" s="304">
        <f t="shared" ca="1" si="116"/>
        <v>1901.2880412201107</v>
      </c>
      <c r="M318" s="306">
        <f t="shared" ca="1" si="132"/>
        <v>-0.20243205721399057</v>
      </c>
      <c r="N318" s="304">
        <f t="shared" ca="1" si="133"/>
        <v>-11.59850251651247</v>
      </c>
      <c r="P318" s="310">
        <f t="shared" ca="1" si="134"/>
        <v>23</v>
      </c>
      <c r="Q318" s="304">
        <f t="shared" ca="1" si="135"/>
        <v>0</v>
      </c>
      <c r="R318" s="306">
        <f t="shared" ca="1" si="136"/>
        <v>0</v>
      </c>
      <c r="S318" s="307">
        <f t="shared" ca="1" si="137"/>
        <v>4.0843000000000034</v>
      </c>
      <c r="T318" s="304">
        <f t="shared" ca="1" si="117"/>
        <v>40.066983000000036</v>
      </c>
      <c r="U318" s="311">
        <f t="shared" ca="1" si="118"/>
        <v>0</v>
      </c>
      <c r="V318" s="306">
        <f t="shared" ca="1" si="119"/>
        <v>1.0166017159253009</v>
      </c>
      <c r="W318" s="304">
        <f t="shared" ca="1" si="120"/>
        <v>0.54879541668626597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>
        <f t="shared" ca="1" si="141"/>
        <v>19.999999999999986</v>
      </c>
      <c r="AD318" s="323">
        <f t="shared" ca="1" si="142"/>
        <v>397.04102707002102</v>
      </c>
      <c r="AE318" s="324" t="e">
        <f t="shared" ca="1" si="121"/>
        <v>#N/A</v>
      </c>
      <c r="AG318" s="306">
        <f t="shared" ca="1" si="143"/>
        <v>1.3530083826563608</v>
      </c>
      <c r="AH318" s="304">
        <f t="shared" ca="1" si="144"/>
        <v>-0.13213870364386884</v>
      </c>
    </row>
    <row r="319" spans="1:34" x14ac:dyDescent="0.2">
      <c r="A319" s="347">
        <f t="shared" ca="1" si="122"/>
        <v>0.1</v>
      </c>
      <c r="B319" s="304">
        <f t="shared" ca="1" si="123"/>
        <v>20.099999999999987</v>
      </c>
      <c r="D319" s="306">
        <f t="shared" ca="1" si="124"/>
        <v>-0.13162336048333753</v>
      </c>
      <c r="E319" s="307">
        <f t="shared" ca="1" si="125"/>
        <v>-9.7829851893552515</v>
      </c>
      <c r="F319" s="304">
        <f t="shared" ca="1" si="126"/>
        <v>9.783870600338556</v>
      </c>
      <c r="G319" s="306">
        <f t="shared" ca="1" si="127"/>
        <v>18.820765250481319</v>
      </c>
      <c r="H319" s="307">
        <f t="shared" ca="1" si="128"/>
        <v>-4.843835651391843</v>
      </c>
      <c r="I319" s="304">
        <f t="shared" ca="1" si="129"/>
        <v>19.434092426234361</v>
      </c>
      <c r="J319" s="306">
        <f t="shared" ca="1" si="130"/>
        <v>398.92376171187158</v>
      </c>
      <c r="K319" s="307">
        <f t="shared" ca="1" si="131"/>
        <v>1858.9339509517044</v>
      </c>
      <c r="L319" s="304">
        <f t="shared" ca="1" si="116"/>
        <v>1901.2563219248646</v>
      </c>
      <c r="M319" s="306">
        <f t="shared" ca="1" si="132"/>
        <v>-0.25189979102644594</v>
      </c>
      <c r="N319" s="304">
        <f t="shared" ca="1" si="133"/>
        <v>-14.43279488604276</v>
      </c>
      <c r="P319" s="310">
        <f t="shared" ca="1" si="134"/>
        <v>23</v>
      </c>
      <c r="Q319" s="304">
        <f t="shared" ca="1" si="135"/>
        <v>0</v>
      </c>
      <c r="R319" s="306">
        <f t="shared" ca="1" si="136"/>
        <v>0</v>
      </c>
      <c r="S319" s="307">
        <f t="shared" ca="1" si="137"/>
        <v>4.0843000000000034</v>
      </c>
      <c r="T319" s="304">
        <f t="shared" ca="1" si="117"/>
        <v>40.066983000000036</v>
      </c>
      <c r="U319" s="311">
        <f t="shared" ca="1" si="118"/>
        <v>0</v>
      </c>
      <c r="V319" s="306">
        <f t="shared" ca="1" si="119"/>
        <v>1.0166463725975354</v>
      </c>
      <c r="W319" s="304">
        <f t="shared" ca="1" si="120"/>
        <v>0.56073356640180139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 t="e">
        <f t="shared" ca="1" si="121"/>
        <v>#N/A</v>
      </c>
      <c r="AG319" s="306">
        <f t="shared" ca="1" si="143"/>
        <v>1.8379561800191362</v>
      </c>
      <c r="AH319" s="304">
        <f t="shared" ca="1" si="144"/>
        <v>-0.13436706820906044</v>
      </c>
    </row>
    <row r="320" spans="1:34" x14ac:dyDescent="0.2">
      <c r="A320" s="347">
        <f t="shared" ca="1" si="122"/>
        <v>0.1</v>
      </c>
      <c r="B320" s="304">
        <f t="shared" ca="1" si="123"/>
        <v>20.199999999999989</v>
      </c>
      <c r="D320" s="306">
        <f t="shared" ca="1" si="124"/>
        <v>-0.13295722249192907</v>
      </c>
      <c r="E320" s="307">
        <f t="shared" ca="1" si="125"/>
        <v>-9.7757812567212188</v>
      </c>
      <c r="F320" s="304">
        <f t="shared" ca="1" si="126"/>
        <v>9.7766853688903517</v>
      </c>
      <c r="G320" s="306">
        <f t="shared" ca="1" si="127"/>
        <v>18.807469528232126</v>
      </c>
      <c r="H320" s="307">
        <f t="shared" ca="1" si="128"/>
        <v>-5.8214137770639649</v>
      </c>
      <c r="I320" s="304">
        <f t="shared" ca="1" si="129"/>
        <v>19.687807608242469</v>
      </c>
      <c r="J320" s="306">
        <f t="shared" ca="1" si="130"/>
        <v>400.80517345080727</v>
      </c>
      <c r="K320" s="307">
        <f t="shared" ca="1" si="131"/>
        <v>1858.4006884802816</v>
      </c>
      <c r="L320" s="304">
        <f t="shared" ca="1" si="116"/>
        <v>1901.1306914594052</v>
      </c>
      <c r="M320" s="306">
        <f t="shared" ca="1" si="132"/>
        <v>-0.30017379882275519</v>
      </c>
      <c r="N320" s="304">
        <f t="shared" ca="1" si="133"/>
        <v>-17.198691792952911</v>
      </c>
      <c r="P320" s="310">
        <f t="shared" ca="1" si="134"/>
        <v>23</v>
      </c>
      <c r="Q320" s="304">
        <f t="shared" ca="1" si="135"/>
        <v>0</v>
      </c>
      <c r="R320" s="306">
        <f t="shared" ca="1" si="136"/>
        <v>0</v>
      </c>
      <c r="S320" s="307">
        <f t="shared" ca="1" si="137"/>
        <v>4.0843000000000034</v>
      </c>
      <c r="T320" s="304">
        <f t="shared" ca="1" si="117"/>
        <v>40.066983000000036</v>
      </c>
      <c r="U320" s="311">
        <f t="shared" ca="1" si="118"/>
        <v>0</v>
      </c>
      <c r="V320" s="306">
        <f t="shared" ca="1" si="119"/>
        <v>1.0167010603078463</v>
      </c>
      <c r="W320" s="304">
        <f t="shared" ca="1" si="120"/>
        <v>0.57550102471577669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 t="e">
        <f t="shared" ca="1" si="121"/>
        <v>#N/A</v>
      </c>
      <c r="AG320" s="306">
        <f t="shared" ca="1" si="143"/>
        <v>2.3077960171731111</v>
      </c>
      <c r="AH320" s="304">
        <f t="shared" ca="1" si="144"/>
        <v>-0.13729000475033687</v>
      </c>
    </row>
    <row r="321" spans="1:34" x14ac:dyDescent="0.2">
      <c r="A321" s="347">
        <f t="shared" ca="1" si="122"/>
        <v>0.1</v>
      </c>
      <c r="B321" s="304">
        <f t="shared" ca="1" si="123"/>
        <v>20.29999999999999</v>
      </c>
      <c r="D321" s="306">
        <f t="shared" ca="1" si="124"/>
        <v>-0.13460508821382849</v>
      </c>
      <c r="E321" s="307">
        <f t="shared" ca="1" si="125"/>
        <v>-9.7683361326831015</v>
      </c>
      <c r="F321" s="304">
        <f t="shared" ca="1" si="126"/>
        <v>9.7692634999192904</v>
      </c>
      <c r="G321" s="306">
        <f t="shared" ca="1" si="127"/>
        <v>18.794009019410744</v>
      </c>
      <c r="H321" s="307">
        <f t="shared" ca="1" si="128"/>
        <v>-6.7982473903322749</v>
      </c>
      <c r="I321" s="304">
        <f t="shared" ca="1" si="129"/>
        <v>19.985768501657674</v>
      </c>
      <c r="J321" s="306">
        <f t="shared" ca="1" si="130"/>
        <v>402.68524737818944</v>
      </c>
      <c r="K321" s="307">
        <f t="shared" ca="1" si="131"/>
        <v>1857.7697054219118</v>
      </c>
      <c r="L321" s="304">
        <f t="shared" ca="1" si="116"/>
        <v>1900.9112780031189</v>
      </c>
      <c r="M321" s="306">
        <f t="shared" ca="1" si="132"/>
        <v>-0.34708109922204783</v>
      </c>
      <c r="N321" s="304">
        <f t="shared" ca="1" si="133"/>
        <v>-19.8862821341847</v>
      </c>
      <c r="P321" s="310">
        <f t="shared" ca="1" si="134"/>
        <v>23</v>
      </c>
      <c r="Q321" s="304">
        <f t="shared" ca="1" si="135"/>
        <v>0</v>
      </c>
      <c r="R321" s="306">
        <f t="shared" ca="1" si="136"/>
        <v>0</v>
      </c>
      <c r="S321" s="307">
        <f t="shared" ca="1" si="137"/>
        <v>4.0843000000000034</v>
      </c>
      <c r="T321" s="304">
        <f t="shared" ca="1" si="117"/>
        <v>40.066983000000036</v>
      </c>
      <c r="U321" s="311">
        <f t="shared" ca="1" si="118"/>
        <v>0</v>
      </c>
      <c r="V321" s="306">
        <f t="shared" ca="1" si="119"/>
        <v>1.0167657730123005</v>
      </c>
      <c r="W321" s="304">
        <f t="shared" ca="1" si="120"/>
        <v>0.59309018203378872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 t="e">
        <f t="shared" ca="1" si="121"/>
        <v>#N/A</v>
      </c>
      <c r="AG321" s="306">
        <f t="shared" ca="1" si="143"/>
        <v>2.7597763310181467</v>
      </c>
      <c r="AH321" s="304">
        <f t="shared" ca="1" si="144"/>
        <v>-0.14090566920054262</v>
      </c>
    </row>
    <row r="322" spans="1:34" x14ac:dyDescent="0.2">
      <c r="A322" s="347">
        <f t="shared" ca="1" si="122"/>
        <v>0.1</v>
      </c>
      <c r="B322" s="304">
        <f t="shared" ca="1" si="123"/>
        <v>20.399999999999991</v>
      </c>
      <c r="D322" s="306">
        <f t="shared" ca="1" si="124"/>
        <v>-0.13655313613443193</v>
      </c>
      <c r="E322" s="307">
        <f t="shared" ca="1" si="125"/>
        <v>-9.7606054296127667</v>
      </c>
      <c r="F322" s="304">
        <f t="shared" ca="1" si="126"/>
        <v>9.7615605879169944</v>
      </c>
      <c r="G322" s="306">
        <f t="shared" ca="1" si="127"/>
        <v>18.7803537057973</v>
      </c>
      <c r="H322" s="307">
        <f t="shared" ca="1" si="128"/>
        <v>-7.7743079332935512</v>
      </c>
      <c r="I322" s="304">
        <f t="shared" ca="1" si="129"/>
        <v>20.325883723875954</v>
      </c>
      <c r="J322" s="306">
        <f t="shared" ca="1" si="130"/>
        <v>404.56396551444982</v>
      </c>
      <c r="K322" s="307">
        <f t="shared" ca="1" si="131"/>
        <v>1857.0410776557305</v>
      </c>
      <c r="L322" s="304">
        <f t="shared" ca="1" si="116"/>
        <v>1900.5982127460643</v>
      </c>
      <c r="M322" s="306">
        <f t="shared" ca="1" si="132"/>
        <v>-0.39248230203741746</v>
      </c>
      <c r="N322" s="304">
        <f t="shared" ca="1" si="133"/>
        <v>-22.48757944032285</v>
      </c>
      <c r="P322" s="310">
        <f t="shared" ca="1" si="134"/>
        <v>23</v>
      </c>
      <c r="Q322" s="304">
        <f t="shared" ca="1" si="135"/>
        <v>0</v>
      </c>
      <c r="R322" s="306">
        <f t="shared" ca="1" si="136"/>
        <v>0</v>
      </c>
      <c r="S322" s="307">
        <f t="shared" ca="1" si="137"/>
        <v>4.0843000000000034</v>
      </c>
      <c r="T322" s="304">
        <f t="shared" ca="1" si="117"/>
        <v>40.066983000000036</v>
      </c>
      <c r="U322" s="311">
        <f t="shared" ca="1" si="118"/>
        <v>0</v>
      </c>
      <c r="V322" s="306">
        <f t="shared" ca="1" si="119"/>
        <v>1.0168405046642974</v>
      </c>
      <c r="W322" s="304">
        <f t="shared" ca="1" si="120"/>
        <v>0.61349329765444194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 t="e">
        <f t="shared" ca="1" si="121"/>
        <v>#N/A</v>
      </c>
      <c r="AG322" s="306">
        <f t="shared" ca="1" si="143"/>
        <v>3.1917026114106086</v>
      </c>
      <c r="AH322" s="304">
        <f t="shared" ca="1" si="144"/>
        <v>-0.14521219842660632</v>
      </c>
    </row>
    <row r="323" spans="1:34" x14ac:dyDescent="0.2">
      <c r="A323" s="347">
        <f t="shared" ca="1" si="122"/>
        <v>0.1</v>
      </c>
      <c r="B323" s="304">
        <f t="shared" ca="1" si="123"/>
        <v>20.499999999999993</v>
      </c>
      <c r="D323" s="306">
        <f t="shared" ca="1" si="124"/>
        <v>-0.13878627473136107</v>
      </c>
      <c r="E323" s="307">
        <f t="shared" ca="1" si="125"/>
        <v>-9.7525480875611414</v>
      </c>
      <c r="F323" s="304">
        <f t="shared" ca="1" si="126"/>
        <v>9.7535355553894547</v>
      </c>
      <c r="G323" s="306">
        <f t="shared" ca="1" si="127"/>
        <v>18.766475078324163</v>
      </c>
      <c r="H323" s="307">
        <f t="shared" ca="1" si="128"/>
        <v>-8.7495627420496653</v>
      </c>
      <c r="I323" s="304">
        <f t="shared" ca="1" si="129"/>
        <v>20.705927533979867</v>
      </c>
      <c r="J323" s="306">
        <f t="shared" ca="1" si="130"/>
        <v>406.4413069536559</v>
      </c>
      <c r="K323" s="307">
        <f t="shared" ca="1" si="131"/>
        <v>1856.2148841219635</v>
      </c>
      <c r="L323" s="304">
        <f t="shared" ca="1" si="116"/>
        <v>1900.1916303452424</v>
      </c>
      <c r="M323" s="306">
        <f t="shared" ca="1" si="132"/>
        <v>-0.43627154632609849</v>
      </c>
      <c r="N323" s="304">
        <f t="shared" ca="1" si="133"/>
        <v>-24.996518326131618</v>
      </c>
      <c r="P323" s="310">
        <f t="shared" ca="1" si="134"/>
        <v>23</v>
      </c>
      <c r="Q323" s="304">
        <f t="shared" ca="1" si="135"/>
        <v>0</v>
      </c>
      <c r="R323" s="306">
        <f t="shared" ca="1" si="136"/>
        <v>0</v>
      </c>
      <c r="S323" s="307">
        <f t="shared" ca="1" si="137"/>
        <v>4.0843000000000034</v>
      </c>
      <c r="T323" s="304">
        <f t="shared" ca="1" si="117"/>
        <v>40.066983000000036</v>
      </c>
      <c r="U323" s="311">
        <f t="shared" ca="1" si="118"/>
        <v>0</v>
      </c>
      <c r="V323" s="306">
        <f t="shared" ca="1" si="119"/>
        <v>1.0169252491700826</v>
      </c>
      <c r="W323" s="304">
        <f t="shared" ca="1" si="120"/>
        <v>0.63670245047745744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 t="e">
        <f t="shared" ca="1" si="121"/>
        <v>#N/A</v>
      </c>
      <c r="AG323" s="306">
        <f t="shared" ca="1" si="143"/>
        <v>3.6019519560661695</v>
      </c>
      <c r="AH323" s="304">
        <f t="shared" ca="1" si="144"/>
        <v>-0.15020769719522106</v>
      </c>
    </row>
    <row r="324" spans="1:34" x14ac:dyDescent="0.2">
      <c r="A324" s="347">
        <f t="shared" ca="1" si="122"/>
        <v>0.1</v>
      </c>
      <c r="B324" s="304">
        <f t="shared" ca="1" si="123"/>
        <v>20.599999999999994</v>
      </c>
      <c r="D324" s="306">
        <f t="shared" ca="1" si="124"/>
        <v>-0.14128852901364392</v>
      </c>
      <c r="E324" s="307">
        <f t="shared" ca="1" si="125"/>
        <v>-9.744126529133613</v>
      </c>
      <c r="F324" s="304">
        <f t="shared" ca="1" si="126"/>
        <v>9.7451508076682067</v>
      </c>
      <c r="G324" s="306">
        <f t="shared" ca="1" si="127"/>
        <v>18.752346225422798</v>
      </c>
      <c r="H324" s="307">
        <f t="shared" ca="1" si="128"/>
        <v>-9.723975394963027</v>
      </c>
      <c r="I324" s="304">
        <f t="shared" ca="1" si="129"/>
        <v>21.123593123329538</v>
      </c>
      <c r="J324" s="306">
        <f t="shared" ca="1" si="130"/>
        <v>408.31724801884326</v>
      </c>
      <c r="K324" s="307">
        <f t="shared" ca="1" si="131"/>
        <v>1855.2912072151128</v>
      </c>
      <c r="L324" s="304">
        <f t="shared" ref="L324:L387" ca="1" si="145">SQRT(pos_x^2+pos_z^2)</f>
        <v>1899.6916693504218</v>
      </c>
      <c r="M324" s="306">
        <f t="shared" ca="1" si="132"/>
        <v>-0.47837498337577877</v>
      </c>
      <c r="N324" s="304">
        <f t="shared" ca="1" si="133"/>
        <v>-27.408867572073042</v>
      </c>
      <c r="P324" s="310">
        <f t="shared" ca="1" si="134"/>
        <v>23</v>
      </c>
      <c r="Q324" s="304">
        <f t="shared" ca="1" si="135"/>
        <v>0</v>
      </c>
      <c r="R324" s="306">
        <f t="shared" ca="1" si="136"/>
        <v>0</v>
      </c>
      <c r="S324" s="307">
        <f t="shared" ca="1" si="137"/>
        <v>4.0843000000000034</v>
      </c>
      <c r="T324" s="304">
        <f t="shared" ref="T324:T387" ca="1" si="146">m*g</f>
        <v>40.066983000000036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1.0170200003477226</v>
      </c>
      <c r="W324" s="304">
        <f t="shared" ref="W324:W387" ca="1" si="149">1/2*Rho*Sref*Cx*vit_xz^2</f>
        <v>0.66270949387395517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 t="e">
        <f t="shared" ref="AE324:AE387" ca="1" si="150">IF(t&lt;T_para, pos_z, NA())</f>
        <v>#N/A</v>
      </c>
      <c r="AG324" s="306">
        <f t="shared" ca="1" si="143"/>
        <v>3.9894546447618162</v>
      </c>
      <c r="AH324" s="304">
        <f t="shared" ca="1" si="144"/>
        <v>-0.15589022610421785</v>
      </c>
    </row>
    <row r="325" spans="1:34" x14ac:dyDescent="0.2">
      <c r="A325" s="347">
        <f t="shared" ref="A325:A388" ca="1" si="151">IF(B324+0.01&lt;=T_ini+ROUNDUP(Temps_fin_propu,0), 0.01, IF(K324&gt;0, 0.1, 0.0001))</f>
        <v>0.1</v>
      </c>
      <c r="B325" s="304">
        <f t="shared" ref="B325:B388" ca="1" si="152">B324+pas</f>
        <v>20.699999999999996</v>
      </c>
      <c r="D325" s="306">
        <f t="shared" ref="D325:D388" ca="1" si="153">IF(AND(L324&lt;L_rampe,Poussee&lt;Poids*SIN(M324)),0,(-W324+Poussee)/m*COS(M324)-U324/m*SIN(M324))</f>
        <v>-0.14404340436223342</v>
      </c>
      <c r="E325" s="307">
        <f t="shared" ref="E325:E388" ca="1" si="154">IF(AND(L324&lt;L_rampe,Poussee&lt;Poids*SIN(M324)),0,(-W324+Poussee)/m*SIN(M324)+U324/m*COS(M324)-Poids/m)</f>
        <v>-9.7353067054656801</v>
      </c>
      <c r="F325" s="304">
        <f t="shared" ref="F325:F388" ca="1" si="155">SQRT(acc_x^2+acc_z^2)</f>
        <v>9.7363722788226053</v>
      </c>
      <c r="G325" s="306">
        <f t="shared" ref="G325:G388" ca="1" si="156">G324+acc_x*pas</f>
        <v>18.737941884986576</v>
      </c>
      <c r="H325" s="307">
        <f t="shared" ref="H325:H388" ca="1" si="157">H324+acc_z*pas</f>
        <v>-10.697506065509595</v>
      </c>
      <c r="I325" s="304">
        <f t="shared" ref="I325:I388" ca="1" si="158">SQRT(vit_x^2+vit_z^2)</f>
        <v>21.57654055002212</v>
      </c>
      <c r="J325" s="306">
        <f t="shared" ref="J325:J388" ca="1" si="159">J324+0.5*(vit_x+G324)*pas*(K324&gt;=0)</f>
        <v>410.19176242436373</v>
      </c>
      <c r="K325" s="307">
        <f t="shared" ref="K325:K388" ca="1" si="160">K324+0.5*(vit_z+H324)*pas</f>
        <v>1854.2701331420892</v>
      </c>
      <c r="L325" s="304">
        <f t="shared" ca="1" si="145"/>
        <v>1899.0984725978763</v>
      </c>
      <c r="M325" s="306">
        <f t="shared" ref="M325:M388" ca="1" si="161">IF(AND(L324&gt;L_rampe,G325&gt;0),ATAN2(G325,H325),$M$4)</f>
        <v>-0.51874816746712626</v>
      </c>
      <c r="N325" s="304">
        <f t="shared" ref="N325:N388" ca="1" si="162">DEGREES(Beta)</f>
        <v>-29.722080626011969</v>
      </c>
      <c r="P325" s="310">
        <f t="shared" ref="P325:P388" ca="1" si="163">MATCH(t-pas/2-T_ini,CdP_t)</f>
        <v>23</v>
      </c>
      <c r="Q325" s="304">
        <f t="shared" ref="Q325:Q388" ca="1" si="164">(INDEX(CdP,2,i_P+1)-INDEX(CdP,2,i_P+0))/(INDEX(CdP,1,i_P+1)-INDEX(CdP,1,i_P+0))*(t-pas/2-T_ini-INDEX(CdP,1,i_P+0))+INDEX(CdP,2,i_P+0)</f>
        <v>0</v>
      </c>
      <c r="R325" s="306">
        <f t="shared" ref="R325:R388" ca="1" si="165">Poussee/(g*ISP)</f>
        <v>0</v>
      </c>
      <c r="S325" s="307">
        <f t="shared" ref="S325:S388" ca="1" si="166">S324-Débit*pas</f>
        <v>4.0843000000000034</v>
      </c>
      <c r="T325" s="304">
        <f t="shared" ca="1" si="146"/>
        <v>40.066983000000036</v>
      </c>
      <c r="U325" s="311">
        <f t="shared" ca="1" si="147"/>
        <v>0</v>
      </c>
      <c r="V325" s="306">
        <f t="shared" ca="1" si="148"/>
        <v>1.0171247518896227</v>
      </c>
      <c r="W325" s="304">
        <f t="shared" ca="1" si="149"/>
        <v>0.69150601480625495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 t="e">
        <f t="shared" ca="1" si="150"/>
        <v>#N/A</v>
      </c>
      <c r="AG325" s="306">
        <f t="shared" ref="AG325:AG388" ca="1" si="172">IF(AND(L324&lt;L_rampe,Poussee&lt;Poids*SIN(M324)),0,(-W324+Poussee)/m-Poids*SIN(M324)/m)</f>
        <v>4.3536499940774283</v>
      </c>
      <c r="AH325" s="304">
        <f t="shared" ref="AH325:AH388" ca="1" si="173">IF(AND(L324&lt;L_rampe,Poussee&lt;Poids*SIN(M324)), g*SIN(M324), (-W324+Poussee)/m)</f>
        <v>-0.16225779053300557</v>
      </c>
    </row>
    <row r="326" spans="1:34" x14ac:dyDescent="0.2">
      <c r="A326" s="347">
        <f t="shared" ca="1" si="151"/>
        <v>0.1</v>
      </c>
      <c r="B326" s="304">
        <f t="shared" ca="1" si="152"/>
        <v>20.799999999999997</v>
      </c>
      <c r="D326" s="306">
        <f t="shared" ca="1" si="153"/>
        <v>-0.14703421304721978</v>
      </c>
      <c r="E326" s="307">
        <f t="shared" ca="1" si="154"/>
        <v>-9.7260580497279534</v>
      </c>
      <c r="F326" s="304">
        <f t="shared" ca="1" si="155"/>
        <v>9.727169385102961</v>
      </c>
      <c r="G326" s="306">
        <f t="shared" ca="1" si="156"/>
        <v>18.723238463681852</v>
      </c>
      <c r="H326" s="307">
        <f t="shared" ca="1" si="157"/>
        <v>-11.670111870482391</v>
      </c>
      <c r="I326" s="304">
        <f t="shared" ca="1" si="158"/>
        <v>22.062437980365395</v>
      </c>
      <c r="J326" s="306">
        <f t="shared" ca="1" si="159"/>
        <v>412.06482144179716</v>
      </c>
      <c r="K326" s="307">
        <f t="shared" ca="1" si="160"/>
        <v>1853.1517522452896</v>
      </c>
      <c r="L326" s="304">
        <f t="shared" ca="1" si="145"/>
        <v>1898.412187571405</v>
      </c>
      <c r="M326" s="306">
        <f t="shared" ca="1" si="161"/>
        <v>-0.55737272958412643</v>
      </c>
      <c r="N326" s="304">
        <f t="shared" ca="1" si="162"/>
        <v>-31.935105020856966</v>
      </c>
      <c r="P326" s="310">
        <f t="shared" ca="1" si="163"/>
        <v>23</v>
      </c>
      <c r="Q326" s="304">
        <f t="shared" ca="1" si="164"/>
        <v>0</v>
      </c>
      <c r="R326" s="306">
        <f t="shared" ca="1" si="165"/>
        <v>0</v>
      </c>
      <c r="S326" s="307">
        <f t="shared" ca="1" si="166"/>
        <v>4.0843000000000034</v>
      </c>
      <c r="T326" s="304">
        <f t="shared" ca="1" si="146"/>
        <v>40.066983000000036</v>
      </c>
      <c r="U326" s="311">
        <f t="shared" ca="1" si="147"/>
        <v>0</v>
      </c>
      <c r="V326" s="306">
        <f t="shared" ca="1" si="148"/>
        <v>1.0172394973285959</v>
      </c>
      <c r="W326" s="304">
        <f t="shared" ca="1" si="149"/>
        <v>0.72308329717087005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 t="e">
        <f t="shared" ca="1" si="150"/>
        <v>#N/A</v>
      </c>
      <c r="AG326" s="306">
        <f t="shared" ca="1" si="172"/>
        <v>4.6944247714991452</v>
      </c>
      <c r="AH326" s="304">
        <f t="shared" ca="1" si="173"/>
        <v>-0.16930833063346334</v>
      </c>
    </row>
    <row r="327" spans="1:34" x14ac:dyDescent="0.2">
      <c r="A327" s="347">
        <f t="shared" ca="1" si="151"/>
        <v>0.1</v>
      </c>
      <c r="B327" s="304">
        <f t="shared" ca="1" si="152"/>
        <v>20.9</v>
      </c>
      <c r="D327" s="306">
        <f t="shared" ca="1" si="153"/>
        <v>-0.15024435445036868</v>
      </c>
      <c r="E327" s="307">
        <f t="shared" ca="1" si="154"/>
        <v>-9.716353357206593</v>
      </c>
      <c r="F327" s="304">
        <f t="shared" ca="1" si="155"/>
        <v>9.7175149049612486</v>
      </c>
      <c r="G327" s="306">
        <f t="shared" ca="1" si="156"/>
        <v>18.708214028236814</v>
      </c>
      <c r="H327" s="307">
        <f t="shared" ca="1" si="157"/>
        <v>-12.64174720620305</v>
      </c>
      <c r="I327" s="304">
        <f t="shared" ca="1" si="158"/>
        <v>22.57899564975952</v>
      </c>
      <c r="J327" s="306">
        <f t="shared" ca="1" si="159"/>
        <v>413.93639406639312</v>
      </c>
      <c r="K327" s="307">
        <f t="shared" ca="1" si="160"/>
        <v>1851.9361592914554</v>
      </c>
      <c r="L327" s="304">
        <f t="shared" ca="1" si="145"/>
        <v>1897.6329667308889</v>
      </c>
      <c r="M327" s="306">
        <f t="shared" ca="1" si="161"/>
        <v>-0.59425267827813533</v>
      </c>
      <c r="N327" s="304">
        <f t="shared" ca="1" si="162"/>
        <v>-34.048170429682685</v>
      </c>
      <c r="P327" s="310">
        <f t="shared" ca="1" si="163"/>
        <v>23</v>
      </c>
      <c r="Q327" s="304">
        <f t="shared" ca="1" si="164"/>
        <v>0</v>
      </c>
      <c r="R327" s="306">
        <f t="shared" ca="1" si="165"/>
        <v>0</v>
      </c>
      <c r="S327" s="307">
        <f t="shared" ca="1" si="166"/>
        <v>4.0843000000000034</v>
      </c>
      <c r="T327" s="304">
        <f t="shared" ca="1" si="146"/>
        <v>40.066983000000036</v>
      </c>
      <c r="U327" s="311">
        <f t="shared" ca="1" si="147"/>
        <v>0</v>
      </c>
      <c r="V327" s="306">
        <f t="shared" ca="1" si="148"/>
        <v>1.0173642300073797</v>
      </c>
      <c r="W327" s="304">
        <f t="shared" ca="1" si="149"/>
        <v>0.75743228924581529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 t="e">
        <f t="shared" ca="1" si="150"/>
        <v>#N/A</v>
      </c>
      <c r="AG327" s="306">
        <f t="shared" ca="1" si="172"/>
        <v>5.0120421811021689</v>
      </c>
      <c r="AH327" s="304">
        <f t="shared" ca="1" si="173"/>
        <v>-0.17703971235483912</v>
      </c>
    </row>
    <row r="328" spans="1:34" x14ac:dyDescent="0.2">
      <c r="A328" s="347">
        <f t="shared" ca="1" si="151"/>
        <v>0.1</v>
      </c>
      <c r="B328" s="304">
        <f t="shared" ca="1" si="152"/>
        <v>21</v>
      </c>
      <c r="D328" s="306">
        <f t="shared" ca="1" si="153"/>
        <v>-0.15365754514526317</v>
      </c>
      <c r="E328" s="307">
        <f t="shared" ca="1" si="154"/>
        <v>-9.7061686113318846</v>
      </c>
      <c r="F328" s="304">
        <f t="shared" ca="1" si="155"/>
        <v>9.7073848050226381</v>
      </c>
      <c r="G328" s="306">
        <f t="shared" ca="1" si="156"/>
        <v>18.692848273722287</v>
      </c>
      <c r="H328" s="307">
        <f t="shared" ca="1" si="157"/>
        <v>-13.612364067336237</v>
      </c>
      <c r="I328" s="304">
        <f t="shared" ca="1" si="158"/>
        <v>23.123992563701215</v>
      </c>
      <c r="J328" s="306">
        <f t="shared" ca="1" si="159"/>
        <v>415.80644718149108</v>
      </c>
      <c r="K328" s="307">
        <f t="shared" ca="1" si="160"/>
        <v>1850.6234537277785</v>
      </c>
      <c r="L328" s="304">
        <f t="shared" ca="1" si="145"/>
        <v>1896.7609678093402</v>
      </c>
      <c r="M328" s="306">
        <f t="shared" ca="1" si="161"/>
        <v>-0.62941061420696987</v>
      </c>
      <c r="N328" s="304">
        <f t="shared" ca="1" si="162"/>
        <v>-36.062571774796268</v>
      </c>
      <c r="P328" s="310">
        <f t="shared" ca="1" si="163"/>
        <v>23</v>
      </c>
      <c r="Q328" s="304">
        <f t="shared" ca="1" si="164"/>
        <v>0</v>
      </c>
      <c r="R328" s="306">
        <f t="shared" ca="1" si="165"/>
        <v>0</v>
      </c>
      <c r="S328" s="307">
        <f t="shared" ca="1" si="166"/>
        <v>4.0843000000000034</v>
      </c>
      <c r="T328" s="304">
        <f t="shared" ca="1" si="146"/>
        <v>40.066983000000036</v>
      </c>
      <c r="U328" s="311">
        <f t="shared" ca="1" si="147"/>
        <v>0</v>
      </c>
      <c r="V328" s="306">
        <f t="shared" ca="1" si="148"/>
        <v>1.0174989430514609</v>
      </c>
      <c r="W328" s="304">
        <f t="shared" ca="1" si="149"/>
        <v>0.79454357505322293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>
        <f t="shared" ca="1" si="170"/>
        <v>21</v>
      </c>
      <c r="AD328" s="323">
        <f t="shared" ca="1" si="171"/>
        <v>415.80644718149108</v>
      </c>
      <c r="AE328" s="324" t="e">
        <f t="shared" ca="1" si="150"/>
        <v>#N/A</v>
      </c>
      <c r="AG328" s="306">
        <f t="shared" ca="1" si="172"/>
        <v>5.3070682833886726</v>
      </c>
      <c r="AH328" s="304">
        <f t="shared" ca="1" si="173"/>
        <v>-0.18544971947354863</v>
      </c>
    </row>
    <row r="329" spans="1:34" x14ac:dyDescent="0.2">
      <c r="A329" s="347">
        <f t="shared" ca="1" si="151"/>
        <v>0.1</v>
      </c>
      <c r="B329" s="304">
        <f t="shared" ca="1" si="152"/>
        <v>21.1</v>
      </c>
      <c r="D329" s="306">
        <f t="shared" ca="1" si="153"/>
        <v>-0.15725799913237579</v>
      </c>
      <c r="E329" s="307">
        <f t="shared" ca="1" si="154"/>
        <v>-9.6954827736605562</v>
      </c>
      <c r="F329" s="304">
        <f t="shared" ca="1" si="155"/>
        <v>9.6967580300139335</v>
      </c>
      <c r="G329" s="306">
        <f t="shared" ca="1" si="156"/>
        <v>18.67712247380905</v>
      </c>
      <c r="H329" s="307">
        <f t="shared" ca="1" si="157"/>
        <v>-14.581912344702292</v>
      </c>
      <c r="I329" s="304">
        <f t="shared" ca="1" si="158"/>
        <v>23.695296400978911</v>
      </c>
      <c r="J329" s="306">
        <f t="shared" ca="1" si="159"/>
        <v>417.67494571886766</v>
      </c>
      <c r="K329" s="307">
        <f t="shared" ca="1" si="160"/>
        <v>1849.2137399071767</v>
      </c>
      <c r="L329" s="304">
        <f t="shared" ca="1" si="145"/>
        <v>1895.7963540799276</v>
      </c>
      <c r="M329" s="306">
        <f t="shared" ca="1" si="161"/>
        <v>-0.66288407586084752</v>
      </c>
      <c r="N329" s="304">
        <f t="shared" ca="1" si="162"/>
        <v>-37.980459853256455</v>
      </c>
      <c r="P329" s="310">
        <f t="shared" ca="1" si="163"/>
        <v>23</v>
      </c>
      <c r="Q329" s="304">
        <f t="shared" ca="1" si="164"/>
        <v>0</v>
      </c>
      <c r="R329" s="306">
        <f t="shared" ca="1" si="165"/>
        <v>0</v>
      </c>
      <c r="S329" s="307">
        <f t="shared" ca="1" si="166"/>
        <v>4.0843000000000034</v>
      </c>
      <c r="T329" s="304">
        <f t="shared" ca="1" si="146"/>
        <v>40.066983000000036</v>
      </c>
      <c r="U329" s="311">
        <f t="shared" ca="1" si="147"/>
        <v>0</v>
      </c>
      <c r="V329" s="306">
        <f t="shared" ca="1" si="148"/>
        <v>1.0176436293449969</v>
      </c>
      <c r="W329" s="304">
        <f t="shared" ca="1" si="149"/>
        <v>0.8344073493996611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 t="e">
        <f t="shared" ca="1" si="150"/>
        <v>#N/A</v>
      </c>
      <c r="AG329" s="306">
        <f t="shared" ca="1" si="172"/>
        <v>5.580301111521802</v>
      </c>
      <c r="AH329" s="304">
        <f t="shared" ca="1" si="173"/>
        <v>-0.19453604658159837</v>
      </c>
    </row>
    <row r="330" spans="1:34" x14ac:dyDescent="0.2">
      <c r="A330" s="347">
        <f t="shared" ca="1" si="151"/>
        <v>0.1</v>
      </c>
      <c r="B330" s="304">
        <f t="shared" ca="1" si="152"/>
        <v>21.200000000000003</v>
      </c>
      <c r="D330" s="306">
        <f t="shared" ca="1" si="153"/>
        <v>-0.16103056152064665</v>
      </c>
      <c r="E330" s="307">
        <f t="shared" ca="1" si="154"/>
        <v>-9.6842775533969405</v>
      </c>
      <c r="F330" s="304">
        <f t="shared" ca="1" si="155"/>
        <v>9.6856162722343839</v>
      </c>
      <c r="G330" s="306">
        <f t="shared" ca="1" si="156"/>
        <v>18.661019417656984</v>
      </c>
      <c r="H330" s="307">
        <f t="shared" ca="1" si="157"/>
        <v>-15.550340100041986</v>
      </c>
      <c r="I330" s="304">
        <f t="shared" ca="1" si="158"/>
        <v>24.2908773603002</v>
      </c>
      <c r="J330" s="306">
        <f t="shared" ca="1" si="159"/>
        <v>419.54185281344098</v>
      </c>
      <c r="K330" s="307">
        <f t="shared" ca="1" si="160"/>
        <v>1847.7071272849394</v>
      </c>
      <c r="L330" s="304">
        <f t="shared" ca="1" si="145"/>
        <v>1894.7392945948259</v>
      </c>
      <c r="M330" s="306">
        <f t="shared" ca="1" si="161"/>
        <v>-0.6947221654903869</v>
      </c>
      <c r="N330" s="304">
        <f t="shared" ca="1" si="162"/>
        <v>-39.804648016788299</v>
      </c>
      <c r="P330" s="310">
        <f t="shared" ca="1" si="163"/>
        <v>23</v>
      </c>
      <c r="Q330" s="304">
        <f t="shared" ca="1" si="164"/>
        <v>0</v>
      </c>
      <c r="R330" s="306">
        <f t="shared" ca="1" si="165"/>
        <v>0</v>
      </c>
      <c r="S330" s="307">
        <f t="shared" ca="1" si="166"/>
        <v>4.0843000000000034</v>
      </c>
      <c r="T330" s="304">
        <f t="shared" ca="1" si="146"/>
        <v>40.066983000000036</v>
      </c>
      <c r="U330" s="311">
        <f t="shared" ca="1" si="147"/>
        <v>0</v>
      </c>
      <c r="V330" s="306">
        <f t="shared" ca="1" si="148"/>
        <v>1.0177982815096138</v>
      </c>
      <c r="W330" s="304">
        <f t="shared" ca="1" si="149"/>
        <v>0.87701339632706143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 t="e">
        <f t="shared" ca="1" si="150"/>
        <v>#N/A</v>
      </c>
      <c r="AG330" s="306">
        <f t="shared" ca="1" si="172"/>
        <v>5.8327060589183048</v>
      </c>
      <c r="AH330" s="304">
        <f t="shared" ca="1" si="173"/>
        <v>-0.20429629297545734</v>
      </c>
    </row>
    <row r="331" spans="1:34" x14ac:dyDescent="0.2">
      <c r="A331" s="347">
        <f t="shared" ca="1" si="151"/>
        <v>0.1</v>
      </c>
      <c r="B331" s="304">
        <f t="shared" ca="1" si="152"/>
        <v>21.300000000000004</v>
      </c>
      <c r="D331" s="306">
        <f t="shared" ca="1" si="153"/>
        <v>-0.16496080082848624</v>
      </c>
      <c r="E331" s="307">
        <f t="shared" ca="1" si="154"/>
        <v>-9.6725371691306936</v>
      </c>
      <c r="F331" s="304">
        <f t="shared" ca="1" si="155"/>
        <v>9.6739437332467872</v>
      </c>
      <c r="G331" s="306">
        <f t="shared" ca="1" si="156"/>
        <v>18.644523337574135</v>
      </c>
      <c r="H331" s="307">
        <f t="shared" ca="1" si="157"/>
        <v>-16.517593816955056</v>
      </c>
      <c r="I331" s="304">
        <f t="shared" ca="1" si="158"/>
        <v>24.908816832343891</v>
      </c>
      <c r="J331" s="306">
        <f t="shared" ca="1" si="159"/>
        <v>421.40712995120253</v>
      </c>
      <c r="K331" s="307">
        <f t="shared" ca="1" si="160"/>
        <v>1846.1037305890895</v>
      </c>
      <c r="L331" s="304">
        <f t="shared" ca="1" si="145"/>
        <v>1893.589964397959</v>
      </c>
      <c r="M331" s="306">
        <f t="shared" ca="1" si="161"/>
        <v>-0.72498254383379335</v>
      </c>
      <c r="N331" s="304">
        <f t="shared" ca="1" si="162"/>
        <v>-41.538439982334566</v>
      </c>
      <c r="P331" s="310">
        <f t="shared" ca="1" si="163"/>
        <v>23</v>
      </c>
      <c r="Q331" s="304">
        <f t="shared" ca="1" si="164"/>
        <v>0</v>
      </c>
      <c r="R331" s="306">
        <f t="shared" ca="1" si="165"/>
        <v>0</v>
      </c>
      <c r="S331" s="307">
        <f t="shared" ca="1" si="166"/>
        <v>4.0843000000000034</v>
      </c>
      <c r="T331" s="304">
        <f t="shared" ca="1" si="146"/>
        <v>40.066983000000036</v>
      </c>
      <c r="U331" s="311">
        <f t="shared" ca="1" si="147"/>
        <v>0</v>
      </c>
      <c r="V331" s="306">
        <f t="shared" ca="1" si="148"/>
        <v>1.0179628918858337</v>
      </c>
      <c r="W331" s="304">
        <f t="shared" ca="1" si="149"/>
        <v>0.92235107069357392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 t="e">
        <f t="shared" ca="1" si="150"/>
        <v>#N/A</v>
      </c>
      <c r="AG331" s="306">
        <f t="shared" ca="1" si="172"/>
        <v>6.0653595881909359</v>
      </c>
      <c r="AH331" s="304">
        <f t="shared" ca="1" si="173"/>
        <v>-0.21472795737998204</v>
      </c>
    </row>
    <row r="332" spans="1:34" x14ac:dyDescent="0.2">
      <c r="A332" s="347">
        <f t="shared" ca="1" si="151"/>
        <v>0.1</v>
      </c>
      <c r="B332" s="304">
        <f t="shared" ca="1" si="152"/>
        <v>21.400000000000006</v>
      </c>
      <c r="D332" s="306">
        <f t="shared" ca="1" si="153"/>
        <v>-0.16903506601196322</v>
      </c>
      <c r="E332" s="307">
        <f t="shared" ca="1" si="154"/>
        <v>-9.6602481125070661</v>
      </c>
      <c r="F332" s="304">
        <f t="shared" ca="1" si="155"/>
        <v>9.6617268875050488</v>
      </c>
      <c r="G332" s="306">
        <f t="shared" ca="1" si="156"/>
        <v>18.627619830972939</v>
      </c>
      <c r="H332" s="307">
        <f t="shared" ca="1" si="157"/>
        <v>-17.483618628205761</v>
      </c>
      <c r="I332" s="304">
        <f t="shared" ca="1" si="158"/>
        <v>25.547311813648808</v>
      </c>
      <c r="J332" s="306">
        <f t="shared" ca="1" si="159"/>
        <v>423.27073710962986</v>
      </c>
      <c r="K332" s="307">
        <f t="shared" ca="1" si="160"/>
        <v>1844.4036699668316</v>
      </c>
      <c r="L332" s="304">
        <f t="shared" ca="1" si="145"/>
        <v>1892.3485447138025</v>
      </c>
      <c r="M332" s="306">
        <f t="shared" ca="1" si="161"/>
        <v>-0.75372883360776366</v>
      </c>
      <c r="N332" s="304">
        <f t="shared" ca="1" si="162"/>
        <v>-43.185481063043142</v>
      </c>
      <c r="P332" s="310">
        <f t="shared" ca="1" si="163"/>
        <v>23</v>
      </c>
      <c r="Q332" s="304">
        <f t="shared" ca="1" si="164"/>
        <v>0</v>
      </c>
      <c r="R332" s="306">
        <f t="shared" ca="1" si="165"/>
        <v>0</v>
      </c>
      <c r="S332" s="307">
        <f t="shared" ca="1" si="166"/>
        <v>4.0843000000000034</v>
      </c>
      <c r="T332" s="304">
        <f t="shared" ca="1" si="146"/>
        <v>40.066983000000036</v>
      </c>
      <c r="U332" s="311">
        <f t="shared" ca="1" si="147"/>
        <v>0</v>
      </c>
      <c r="V332" s="306">
        <f t="shared" ca="1" si="148"/>
        <v>1.01813745251689</v>
      </c>
      <c r="W332" s="304">
        <f t="shared" ca="1" si="149"/>
        <v>0.97040928260256554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 t="e">
        <f t="shared" ca="1" si="150"/>
        <v>#N/A</v>
      </c>
      <c r="AG332" s="306">
        <f t="shared" ca="1" si="172"/>
        <v>6.2794020813212503</v>
      </c>
      <c r="AH332" s="304">
        <f t="shared" ca="1" si="173"/>
        <v>-0.22582843343867326</v>
      </c>
    </row>
    <row r="333" spans="1:34" x14ac:dyDescent="0.2">
      <c r="A333" s="347">
        <f t="shared" ca="1" si="151"/>
        <v>0.1</v>
      </c>
      <c r="B333" s="304">
        <f t="shared" ca="1" si="152"/>
        <v>21.500000000000007</v>
      </c>
      <c r="D333" s="306">
        <f t="shared" ca="1" si="153"/>
        <v>-0.17324051453829042</v>
      </c>
      <c r="E333" s="307">
        <f t="shared" ca="1" si="154"/>
        <v>-9.6473989208162081</v>
      </c>
      <c r="F333" s="304">
        <f t="shared" ca="1" si="155"/>
        <v>9.6489542549046856</v>
      </c>
      <c r="G333" s="306">
        <f t="shared" ca="1" si="156"/>
        <v>18.61029577951911</v>
      </c>
      <c r="H333" s="307">
        <f t="shared" ca="1" si="157"/>
        <v>-18.448358520287382</v>
      </c>
      <c r="I333" s="304">
        <f t="shared" ca="1" si="158"/>
        <v>26.204675939500699</v>
      </c>
      <c r="J333" s="306">
        <f t="shared" ca="1" si="159"/>
        <v>425.13263289015447</v>
      </c>
      <c r="K333" s="307">
        <f t="shared" ca="1" si="160"/>
        <v>1842.6070711094069</v>
      </c>
      <c r="L333" s="304">
        <f t="shared" ca="1" si="145"/>
        <v>1891.0152231144259</v>
      </c>
      <c r="M333" s="306">
        <f t="shared" ca="1" si="161"/>
        <v>-0.78102843568916225</v>
      </c>
      <c r="N333" s="304">
        <f t="shared" ca="1" si="162"/>
        <v>-44.749633044693837</v>
      </c>
      <c r="P333" s="310">
        <f t="shared" ca="1" si="163"/>
        <v>23</v>
      </c>
      <c r="Q333" s="304">
        <f t="shared" ca="1" si="164"/>
        <v>0</v>
      </c>
      <c r="R333" s="306">
        <f t="shared" ca="1" si="165"/>
        <v>0</v>
      </c>
      <c r="S333" s="307">
        <f t="shared" ca="1" si="166"/>
        <v>4.0843000000000034</v>
      </c>
      <c r="T333" s="304">
        <f t="shared" ca="1" si="146"/>
        <v>40.066983000000036</v>
      </c>
      <c r="U333" s="311">
        <f t="shared" ca="1" si="147"/>
        <v>0</v>
      </c>
      <c r="V333" s="306">
        <f t="shared" ca="1" si="148"/>
        <v>1.018321955134692</v>
      </c>
      <c r="W333" s="304">
        <f t="shared" ca="1" si="149"/>
        <v>1.0211764844060396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 t="e">
        <f t="shared" ca="1" si="150"/>
        <v>#N/A</v>
      </c>
      <c r="AG333" s="306">
        <f t="shared" ca="1" si="172"/>
        <v>6.4759997548228672</v>
      </c>
      <c r="AH333" s="304">
        <f t="shared" ca="1" si="173"/>
        <v>-0.23759500590127189</v>
      </c>
    </row>
    <row r="334" spans="1:34" x14ac:dyDescent="0.2">
      <c r="A334" s="347">
        <f t="shared" ca="1" si="151"/>
        <v>0.1</v>
      </c>
      <c r="B334" s="304">
        <f t="shared" ca="1" si="152"/>
        <v>21.600000000000009</v>
      </c>
      <c r="D334" s="306">
        <f t="shared" ca="1" si="153"/>
        <v>-0.17756511753327173</v>
      </c>
      <c r="E334" s="307">
        <f t="shared" ca="1" si="154"/>
        <v>-9.6339799631472918</v>
      </c>
      <c r="F334" s="304">
        <f t="shared" ca="1" si="155"/>
        <v>9.6356161869020145</v>
      </c>
      <c r="G334" s="306">
        <f t="shared" ca="1" si="156"/>
        <v>18.592539267765783</v>
      </c>
      <c r="H334" s="307">
        <f t="shared" ca="1" si="157"/>
        <v>-19.411756516602111</v>
      </c>
      <c r="I334" s="304">
        <f t="shared" ca="1" si="158"/>
        <v>26.87933792866292</v>
      </c>
      <c r="J334" s="306">
        <f t="shared" ca="1" si="159"/>
        <v>426.99277464251873</v>
      </c>
      <c r="K334" s="307">
        <f t="shared" ca="1" si="160"/>
        <v>1840.7140653575625</v>
      </c>
      <c r="L334" s="304">
        <f t="shared" ca="1" si="145"/>
        <v>1889.5901936668918</v>
      </c>
      <c r="M334" s="306">
        <f t="shared" ca="1" si="161"/>
        <v>-0.80695073744712387</v>
      </c>
      <c r="N334" s="304">
        <f t="shared" ca="1" si="162"/>
        <v>-46.234871530689595</v>
      </c>
      <c r="P334" s="310">
        <f t="shared" ca="1" si="163"/>
        <v>23</v>
      </c>
      <c r="Q334" s="304">
        <f t="shared" ca="1" si="164"/>
        <v>0</v>
      </c>
      <c r="R334" s="306">
        <f t="shared" ca="1" si="165"/>
        <v>0</v>
      </c>
      <c r="S334" s="307">
        <f t="shared" ca="1" si="166"/>
        <v>4.0843000000000034</v>
      </c>
      <c r="T334" s="304">
        <f t="shared" ca="1" si="146"/>
        <v>40.066983000000036</v>
      </c>
      <c r="U334" s="311">
        <f t="shared" ca="1" si="147"/>
        <v>0</v>
      </c>
      <c r="V334" s="306">
        <f t="shared" ca="1" si="148"/>
        <v>1.0185163911477086</v>
      </c>
      <c r="W334" s="304">
        <f t="shared" ca="1" si="149"/>
        <v>1.07464066002313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 t="e">
        <f t="shared" ca="1" si="150"/>
        <v>#N/A</v>
      </c>
      <c r="AG334" s="306">
        <f t="shared" ca="1" si="172"/>
        <v>6.6563149791544598</v>
      </c>
      <c r="AH334" s="304">
        <f t="shared" ca="1" si="173"/>
        <v>-0.25002484744167636</v>
      </c>
    </row>
    <row r="335" spans="1:34" x14ac:dyDescent="0.2">
      <c r="A335" s="347">
        <f t="shared" ca="1" si="151"/>
        <v>0.1</v>
      </c>
      <c r="B335" s="304">
        <f t="shared" ca="1" si="152"/>
        <v>21.70000000000001</v>
      </c>
      <c r="D335" s="306">
        <f t="shared" ca="1" si="153"/>
        <v>-0.18199764743817662</v>
      </c>
      <c r="E335" s="307">
        <f t="shared" ca="1" si="154"/>
        <v>-9.6199832428597141</v>
      </c>
      <c r="F335" s="304">
        <f t="shared" ca="1" si="155"/>
        <v>9.6217046689541839</v>
      </c>
      <c r="G335" s="306">
        <f t="shared" ca="1" si="156"/>
        <v>18.574339503021967</v>
      </c>
      <c r="H335" s="307">
        <f t="shared" ca="1" si="157"/>
        <v>-20.373754840888083</v>
      </c>
      <c r="I335" s="304">
        <f t="shared" ca="1" si="158"/>
        <v>27.569838125932712</v>
      </c>
      <c r="J335" s="306">
        <f t="shared" ca="1" si="159"/>
        <v>428.85111858105813</v>
      </c>
      <c r="K335" s="307">
        <f t="shared" ca="1" si="160"/>
        <v>1838.724789789688</v>
      </c>
      <c r="L335" s="304">
        <f t="shared" ca="1" si="145"/>
        <v>1888.0736570630281</v>
      </c>
      <c r="M335" s="306">
        <f t="shared" ca="1" si="161"/>
        <v>-0.83156567783464974</v>
      </c>
      <c r="N335" s="304">
        <f t="shared" ca="1" si="162"/>
        <v>-47.645203727860938</v>
      </c>
      <c r="P335" s="310">
        <f t="shared" ca="1" si="163"/>
        <v>23</v>
      </c>
      <c r="Q335" s="304">
        <f t="shared" ca="1" si="164"/>
        <v>0</v>
      </c>
      <c r="R335" s="306">
        <f t="shared" ca="1" si="165"/>
        <v>0</v>
      </c>
      <c r="S335" s="307">
        <f t="shared" ca="1" si="166"/>
        <v>4.0843000000000034</v>
      </c>
      <c r="T335" s="304">
        <f t="shared" ca="1" si="146"/>
        <v>40.066983000000036</v>
      </c>
      <c r="U335" s="311">
        <f t="shared" ca="1" si="147"/>
        <v>0</v>
      </c>
      <c r="V335" s="306">
        <f t="shared" ca="1" si="148"/>
        <v>1.0187207516305663</v>
      </c>
      <c r="W335" s="304">
        <f t="shared" ca="1" si="149"/>
        <v>1.1307893163325973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 t="e">
        <f t="shared" ca="1" si="150"/>
        <v>#N/A</v>
      </c>
      <c r="AG335" s="306">
        <f t="shared" ca="1" si="172"/>
        <v>6.8214840143821469</v>
      </c>
      <c r="AH335" s="304">
        <f t="shared" ca="1" si="173"/>
        <v>-0.26311501604268273</v>
      </c>
    </row>
    <row r="336" spans="1:34" x14ac:dyDescent="0.2">
      <c r="A336" s="347">
        <f t="shared" ca="1" si="151"/>
        <v>0.1</v>
      </c>
      <c r="B336" s="304">
        <f t="shared" ca="1" si="152"/>
        <v>21.800000000000011</v>
      </c>
      <c r="D336" s="306">
        <f t="shared" ca="1" si="153"/>
        <v>-0.18652765286836021</v>
      </c>
      <c r="E336" s="307">
        <f t="shared" ca="1" si="154"/>
        <v>-9.6054022176687379</v>
      </c>
      <c r="F336" s="304">
        <f t="shared" ca="1" si="155"/>
        <v>9.6072131405772456</v>
      </c>
      <c r="G336" s="306">
        <f t="shared" ca="1" si="156"/>
        <v>18.55568673773513</v>
      </c>
      <c r="H336" s="307">
        <f t="shared" ca="1" si="157"/>
        <v>-21.334295062654956</v>
      </c>
      <c r="I336" s="304">
        <f t="shared" ca="1" si="158"/>
        <v>28.274823715266255</v>
      </c>
      <c r="J336" s="306">
        <f t="shared" ca="1" si="159"/>
        <v>430.70761989309597</v>
      </c>
      <c r="K336" s="307">
        <f t="shared" ca="1" si="160"/>
        <v>1836.6393872945109</v>
      </c>
      <c r="L336" s="304">
        <f t="shared" ca="1" si="145"/>
        <v>1886.4658207334508</v>
      </c>
      <c r="M336" s="306">
        <f t="shared" ca="1" si="161"/>
        <v>-0.85494262638476026</v>
      </c>
      <c r="N336" s="304">
        <f t="shared" ca="1" si="162"/>
        <v>-48.98460421767674</v>
      </c>
      <c r="P336" s="310">
        <f t="shared" ca="1" si="163"/>
        <v>23</v>
      </c>
      <c r="Q336" s="304">
        <f t="shared" ca="1" si="164"/>
        <v>0</v>
      </c>
      <c r="R336" s="306">
        <f t="shared" ca="1" si="165"/>
        <v>0</v>
      </c>
      <c r="S336" s="307">
        <f t="shared" ca="1" si="166"/>
        <v>4.0843000000000034</v>
      </c>
      <c r="T336" s="304">
        <f t="shared" ca="1" si="146"/>
        <v>40.066983000000036</v>
      </c>
      <c r="U336" s="311">
        <f t="shared" ca="1" si="147"/>
        <v>0</v>
      </c>
      <c r="V336" s="306">
        <f t="shared" ca="1" si="148"/>
        <v>1.0189350273151596</v>
      </c>
      <c r="W336" s="304">
        <f t="shared" ca="1" si="149"/>
        <v>1.1896094764185647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 t="e">
        <f t="shared" ca="1" si="150"/>
        <v>#N/A</v>
      </c>
      <c r="AG336" s="306">
        <f t="shared" ca="1" si="172"/>
        <v>6.9726010396487741</v>
      </c>
      <c r="AH336" s="304">
        <f t="shared" ca="1" si="173"/>
        <v>-0.27686245288852346</v>
      </c>
    </row>
    <row r="337" spans="1:34" x14ac:dyDescent="0.2">
      <c r="A337" s="347">
        <f t="shared" ca="1" si="151"/>
        <v>0.1</v>
      </c>
      <c r="B337" s="304">
        <f t="shared" ca="1" si="152"/>
        <v>21.900000000000013</v>
      </c>
      <c r="D337" s="306">
        <f t="shared" ca="1" si="153"/>
        <v>-0.19114542458292375</v>
      </c>
      <c r="E337" s="307">
        <f t="shared" ca="1" si="154"/>
        <v>-9.5902316375801089</v>
      </c>
      <c r="F337" s="304">
        <f t="shared" ca="1" si="155"/>
        <v>9.5921363332566045</v>
      </c>
      <c r="G337" s="306">
        <f t="shared" ca="1" si="156"/>
        <v>18.536572195276836</v>
      </c>
      <c r="H337" s="307">
        <f t="shared" ca="1" si="157"/>
        <v>-22.293318226412968</v>
      </c>
      <c r="I337" s="304">
        <f t="shared" ca="1" si="158"/>
        <v>28.993043067170905</v>
      </c>
      <c r="J337" s="306">
        <f t="shared" ca="1" si="159"/>
        <v>432.56223283974657</v>
      </c>
      <c r="K337" s="307">
        <f t="shared" ca="1" si="160"/>
        <v>1834.4580066300575</v>
      </c>
      <c r="L337" s="304">
        <f t="shared" ca="1" si="145"/>
        <v>1884.7668989475678</v>
      </c>
      <c r="M337" s="306">
        <f t="shared" ca="1" si="161"/>
        <v>-0.877149531071999</v>
      </c>
      <c r="N337" s="304">
        <f t="shared" ca="1" si="162"/>
        <v>-50.256966132304804</v>
      </c>
      <c r="P337" s="310">
        <f t="shared" ca="1" si="163"/>
        <v>23</v>
      </c>
      <c r="Q337" s="304">
        <f t="shared" ca="1" si="164"/>
        <v>0</v>
      </c>
      <c r="R337" s="306">
        <f t="shared" ca="1" si="165"/>
        <v>0</v>
      </c>
      <c r="S337" s="307">
        <f t="shared" ca="1" si="166"/>
        <v>4.0843000000000034</v>
      </c>
      <c r="T337" s="304">
        <f t="shared" ca="1" si="146"/>
        <v>40.066983000000036</v>
      </c>
      <c r="U337" s="311">
        <f t="shared" ca="1" si="147"/>
        <v>0</v>
      </c>
      <c r="V337" s="306">
        <f t="shared" ca="1" si="148"/>
        <v>1.0191592085831074</v>
      </c>
      <c r="W337" s="304">
        <f t="shared" ca="1" si="149"/>
        <v>1.2510876744697221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 t="e">
        <f t="shared" ca="1" si="150"/>
        <v>#N/A</v>
      </c>
      <c r="AG337" s="306">
        <f t="shared" ca="1" si="172"/>
        <v>7.1107073515325476</v>
      </c>
      <c r="AH337" s="304">
        <f t="shared" ca="1" si="173"/>
        <v>-0.29126398071115339</v>
      </c>
    </row>
    <row r="338" spans="1:34" x14ac:dyDescent="0.2">
      <c r="A338" s="347">
        <f t="shared" ca="1" si="151"/>
        <v>0.1</v>
      </c>
      <c r="B338" s="304">
        <f t="shared" ca="1" si="152"/>
        <v>22.000000000000014</v>
      </c>
      <c r="D338" s="306">
        <f t="shared" ca="1" si="153"/>
        <v>-0.19584195572342997</v>
      </c>
      <c r="E338" s="307">
        <f t="shared" ca="1" si="154"/>
        <v>-9.5744674001734822</v>
      </c>
      <c r="F338" s="304">
        <f t="shared" ca="1" si="155"/>
        <v>9.5764701257094913</v>
      </c>
      <c r="G338" s="306">
        <f t="shared" ca="1" si="156"/>
        <v>18.516987999704494</v>
      </c>
      <c r="H338" s="307">
        <f t="shared" ca="1" si="157"/>
        <v>-23.250764966430317</v>
      </c>
      <c r="I338" s="304">
        <f t="shared" ca="1" si="158"/>
        <v>29.723339585339055</v>
      </c>
      <c r="J338" s="306">
        <f t="shared" ca="1" si="159"/>
        <v>434.41491084949564</v>
      </c>
      <c r="K338" s="307">
        <f t="shared" ca="1" si="160"/>
        <v>1832.1808024704153</v>
      </c>
      <c r="L338" s="304">
        <f t="shared" ca="1" si="145"/>
        <v>1882.9771129011394</v>
      </c>
      <c r="M338" s="306">
        <f t="shared" ca="1" si="161"/>
        <v>-0.89825229131259821</v>
      </c>
      <c r="N338" s="304">
        <f t="shared" ca="1" si="162"/>
        <v>-51.466065230167622</v>
      </c>
      <c r="P338" s="310">
        <f t="shared" ca="1" si="163"/>
        <v>23</v>
      </c>
      <c r="Q338" s="304">
        <f t="shared" ca="1" si="164"/>
        <v>0</v>
      </c>
      <c r="R338" s="306">
        <f t="shared" ca="1" si="165"/>
        <v>0</v>
      </c>
      <c r="S338" s="307">
        <f t="shared" ca="1" si="166"/>
        <v>4.0843000000000034</v>
      </c>
      <c r="T338" s="304">
        <f t="shared" ca="1" si="146"/>
        <v>40.066983000000036</v>
      </c>
      <c r="U338" s="311">
        <f t="shared" ca="1" si="147"/>
        <v>0</v>
      </c>
      <c r="V338" s="306">
        <f t="shared" ca="1" si="148"/>
        <v>1.0193932854593901</v>
      </c>
      <c r="W338" s="304">
        <f t="shared" ca="1" si="149"/>
        <v>1.3152099521528162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>
        <f t="shared" ca="1" si="170"/>
        <v>22.000000000000014</v>
      </c>
      <c r="AD338" s="323">
        <f t="shared" ca="1" si="171"/>
        <v>434.41491084949564</v>
      </c>
      <c r="AE338" s="324" t="e">
        <f t="shared" ca="1" si="150"/>
        <v>#N/A</v>
      </c>
      <c r="AG338" s="306">
        <f t="shared" ca="1" si="172"/>
        <v>7.2367846853209343</v>
      </c>
      <c r="AH338" s="304">
        <f t="shared" ca="1" si="173"/>
        <v>-0.30631630254137088</v>
      </c>
    </row>
    <row r="339" spans="1:34" x14ac:dyDescent="0.2">
      <c r="A339" s="347">
        <f t="shared" ca="1" si="151"/>
        <v>0.1</v>
      </c>
      <c r="B339" s="304">
        <f t="shared" ca="1" si="152"/>
        <v>22.100000000000016</v>
      </c>
      <c r="D339" s="306">
        <f t="shared" ca="1" si="153"/>
        <v>-0.20060889880135185</v>
      </c>
      <c r="E339" s="307">
        <f t="shared" ca="1" si="154"/>
        <v>-9.5581064222605168</v>
      </c>
      <c r="F339" s="304">
        <f t="shared" ca="1" si="155"/>
        <v>9.5602114155250781</v>
      </c>
      <c r="G339" s="306">
        <f t="shared" ca="1" si="156"/>
        <v>18.496927109824359</v>
      </c>
      <c r="H339" s="307">
        <f t="shared" ca="1" si="157"/>
        <v>-24.206575608656369</v>
      </c>
      <c r="I339" s="304">
        <f t="shared" ca="1" si="158"/>
        <v>30.464645331986926</v>
      </c>
      <c r="J339" s="306">
        <f t="shared" ca="1" si="159"/>
        <v>436.26560660497211</v>
      </c>
      <c r="K339" s="307">
        <f t="shared" ca="1" si="160"/>
        <v>1829.8079354416609</v>
      </c>
      <c r="L339" s="304">
        <f t="shared" ca="1" si="145"/>
        <v>1881.0966907928146</v>
      </c>
      <c r="M339" s="306">
        <f t="shared" ca="1" si="161"/>
        <v>-0.91831431579151046</v>
      </c>
      <c r="N339" s="304">
        <f t="shared" ca="1" si="162"/>
        <v>-52.615534561297437</v>
      </c>
      <c r="P339" s="310">
        <f t="shared" ca="1" si="163"/>
        <v>23</v>
      </c>
      <c r="Q339" s="304">
        <f t="shared" ca="1" si="164"/>
        <v>0</v>
      </c>
      <c r="R339" s="306">
        <f t="shared" ca="1" si="165"/>
        <v>0</v>
      </c>
      <c r="S339" s="307">
        <f t="shared" ca="1" si="166"/>
        <v>4.0843000000000034</v>
      </c>
      <c r="T339" s="304">
        <f t="shared" ca="1" si="146"/>
        <v>40.066983000000036</v>
      </c>
      <c r="U339" s="311">
        <f t="shared" ca="1" si="147"/>
        <v>0</v>
      </c>
      <c r="V339" s="306">
        <f t="shared" ca="1" si="148"/>
        <v>1.0196372476070359</v>
      </c>
      <c r="W339" s="304">
        <f t="shared" ca="1" si="149"/>
        <v>1.3819618563009286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 t="e">
        <f t="shared" ca="1" si="150"/>
        <v>#N/A</v>
      </c>
      <c r="AG339" s="306">
        <f t="shared" ca="1" si="172"/>
        <v>7.3517517353316695</v>
      </c>
      <c r="AH339" s="304">
        <f t="shared" ca="1" si="173"/>
        <v>-0.32201600082090326</v>
      </c>
    </row>
    <row r="340" spans="1:34" x14ac:dyDescent="0.2">
      <c r="A340" s="347">
        <f t="shared" ca="1" si="151"/>
        <v>0.1</v>
      </c>
      <c r="B340" s="304">
        <f t="shared" ca="1" si="152"/>
        <v>22.200000000000017</v>
      </c>
      <c r="D340" s="306">
        <f t="shared" ca="1" si="153"/>
        <v>-0.20543852132772281</v>
      </c>
      <c r="E340" s="307">
        <f t="shared" ca="1" si="154"/>
        <v>-9.5411465266677311</v>
      </c>
      <c r="F340" s="304">
        <f t="shared" ca="1" si="155"/>
        <v>9.5433580059321379</v>
      </c>
      <c r="G340" s="306">
        <f t="shared" ca="1" si="156"/>
        <v>18.476383257691587</v>
      </c>
      <c r="H340" s="307">
        <f t="shared" ca="1" si="157"/>
        <v>-25.160690261323143</v>
      </c>
      <c r="I340" s="304">
        <f t="shared" ca="1" si="158"/>
        <v>31.215974639779347</v>
      </c>
      <c r="J340" s="306">
        <f t="shared" ca="1" si="159"/>
        <v>438.11427212334792</v>
      </c>
      <c r="K340" s="307">
        <f t="shared" ca="1" si="160"/>
        <v>1827.339572148162</v>
      </c>
      <c r="L340" s="304">
        <f t="shared" ca="1" si="145"/>
        <v>1879.1258678909187</v>
      </c>
      <c r="M340" s="306">
        <f t="shared" ca="1" si="161"/>
        <v>-0.93739622930016975</v>
      </c>
      <c r="N340" s="304">
        <f t="shared" ca="1" si="162"/>
        <v>-53.708847670377288</v>
      </c>
      <c r="P340" s="310">
        <f t="shared" ca="1" si="163"/>
        <v>23</v>
      </c>
      <c r="Q340" s="304">
        <f t="shared" ca="1" si="164"/>
        <v>0</v>
      </c>
      <c r="R340" s="306">
        <f t="shared" ca="1" si="165"/>
        <v>0</v>
      </c>
      <c r="S340" s="307">
        <f t="shared" ca="1" si="166"/>
        <v>4.0843000000000034</v>
      </c>
      <c r="T340" s="304">
        <f t="shared" ca="1" si="146"/>
        <v>40.066983000000036</v>
      </c>
      <c r="U340" s="311">
        <f t="shared" ca="1" si="147"/>
        <v>0</v>
      </c>
      <c r="V340" s="306">
        <f t="shared" ca="1" si="148"/>
        <v>1.0198910843227245</v>
      </c>
      <c r="W340" s="304">
        <f t="shared" ca="1" si="149"/>
        <v>1.451328437775278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 t="e">
        <f t="shared" ca="1" si="150"/>
        <v>#N/A</v>
      </c>
      <c r="AG340" s="306">
        <f t="shared" ca="1" si="172"/>
        <v>7.456463088969338</v>
      </c>
      <c r="AH340" s="304">
        <f t="shared" ca="1" si="173"/>
        <v>-0.33835953683640463</v>
      </c>
    </row>
    <row r="341" spans="1:34" x14ac:dyDescent="0.2">
      <c r="A341" s="347">
        <f t="shared" ca="1" si="151"/>
        <v>0.1</v>
      </c>
      <c r="B341" s="304">
        <f t="shared" ca="1" si="152"/>
        <v>22.300000000000018</v>
      </c>
      <c r="D341" s="306">
        <f t="shared" ca="1" si="153"/>
        <v>-0.21032366148873</v>
      </c>
      <c r="E341" s="307">
        <f t="shared" ca="1" si="154"/>
        <v>-9.5235863427631422</v>
      </c>
      <c r="F341" s="304">
        <f t="shared" ca="1" si="155"/>
        <v>9.5259085063130158</v>
      </c>
      <c r="G341" s="306">
        <f t="shared" ca="1" si="156"/>
        <v>18.455350891542714</v>
      </c>
      <c r="H341" s="307">
        <f t="shared" ca="1" si="157"/>
        <v>-26.113048895599459</v>
      </c>
      <c r="I341" s="304">
        <f t="shared" ca="1" si="158"/>
        <v>31.976417859946952</v>
      </c>
      <c r="J341" s="306">
        <f t="shared" ca="1" si="159"/>
        <v>439.96085883080963</v>
      </c>
      <c r="K341" s="307">
        <f t="shared" ca="1" si="160"/>
        <v>1824.7758851903159</v>
      </c>
      <c r="L341" s="304">
        <f t="shared" ca="1" si="145"/>
        <v>1877.0648865916289</v>
      </c>
      <c r="M341" s="306">
        <f t="shared" ca="1" si="161"/>
        <v>-0.95555569764168458</v>
      </c>
      <c r="N341" s="304">
        <f t="shared" ca="1" si="162"/>
        <v>-54.749308564547519</v>
      </c>
      <c r="P341" s="310">
        <f t="shared" ca="1" si="163"/>
        <v>23</v>
      </c>
      <c r="Q341" s="304">
        <f t="shared" ca="1" si="164"/>
        <v>0</v>
      </c>
      <c r="R341" s="306">
        <f t="shared" ca="1" si="165"/>
        <v>0</v>
      </c>
      <c r="S341" s="307">
        <f t="shared" ca="1" si="166"/>
        <v>4.0843000000000034</v>
      </c>
      <c r="T341" s="304">
        <f t="shared" ca="1" si="146"/>
        <v>40.066983000000036</v>
      </c>
      <c r="U341" s="311">
        <f t="shared" ca="1" si="147"/>
        <v>0</v>
      </c>
      <c r="V341" s="306">
        <f t="shared" ca="1" si="148"/>
        <v>1.0201547845332073</v>
      </c>
      <c r="W341" s="304">
        <f t="shared" ca="1" si="149"/>
        <v>1.5232942513759629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 t="e">
        <f t="shared" ca="1" si="150"/>
        <v>#N/A</v>
      </c>
      <c r="AG341" s="306">
        <f t="shared" ca="1" si="172"/>
        <v>7.5517099270385053</v>
      </c>
      <c r="AH341" s="304">
        <f t="shared" ca="1" si="173"/>
        <v>-0.35534325044077975</v>
      </c>
    </row>
    <row r="342" spans="1:34" x14ac:dyDescent="0.2">
      <c r="A342" s="347">
        <f t="shared" ca="1" si="151"/>
        <v>0.1</v>
      </c>
      <c r="B342" s="304">
        <f t="shared" ca="1" si="152"/>
        <v>22.40000000000002</v>
      </c>
      <c r="D342" s="306">
        <f t="shared" ca="1" si="153"/>
        <v>-0.21525768487309832</v>
      </c>
      <c r="E342" s="307">
        <f t="shared" ca="1" si="154"/>
        <v>-9.5054252193156277</v>
      </c>
      <c r="F342" s="304">
        <f t="shared" ca="1" si="155"/>
        <v>9.5078622450526957</v>
      </c>
      <c r="G342" s="306">
        <f t="shared" ca="1" si="156"/>
        <v>18.433825123055403</v>
      </c>
      <c r="H342" s="307">
        <f t="shared" ca="1" si="157"/>
        <v>-27.063591417531022</v>
      </c>
      <c r="I342" s="304">
        <f t="shared" ca="1" si="158"/>
        <v>32.745135349887427</v>
      </c>
      <c r="J342" s="306">
        <f t="shared" ca="1" si="159"/>
        <v>441.80531763153954</v>
      </c>
      <c r="K342" s="307">
        <f t="shared" ca="1" si="160"/>
        <v>1822.1170531746593</v>
      </c>
      <c r="L342" s="304">
        <f t="shared" ca="1" si="145"/>
        <v>1874.9139964695473</v>
      </c>
      <c r="M342" s="306">
        <f t="shared" ca="1" si="161"/>
        <v>-0.97284734445729504</v>
      </c>
      <c r="N342" s="304">
        <f t="shared" ca="1" si="162"/>
        <v>-55.740046947912823</v>
      </c>
      <c r="P342" s="310">
        <f t="shared" ca="1" si="163"/>
        <v>23</v>
      </c>
      <c r="Q342" s="304">
        <f t="shared" ca="1" si="164"/>
        <v>0</v>
      </c>
      <c r="R342" s="306">
        <f t="shared" ca="1" si="165"/>
        <v>0</v>
      </c>
      <c r="S342" s="307">
        <f t="shared" ca="1" si="166"/>
        <v>4.0843000000000034</v>
      </c>
      <c r="T342" s="304">
        <f t="shared" ca="1" si="146"/>
        <v>40.066983000000036</v>
      </c>
      <c r="U342" s="311">
        <f t="shared" ca="1" si="147"/>
        <v>0</v>
      </c>
      <c r="V342" s="306">
        <f t="shared" ca="1" si="148"/>
        <v>1.0204283367924436</v>
      </c>
      <c r="W342" s="304">
        <f t="shared" ca="1" si="149"/>
        <v>1.597843356692082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 t="e">
        <f t="shared" ca="1" si="150"/>
        <v>#N/A</v>
      </c>
      <c r="AG342" s="306">
        <f t="shared" ca="1" si="172"/>
        <v>7.638221969977228</v>
      </c>
      <c r="AH342" s="304">
        <f t="shared" ca="1" si="173"/>
        <v>-0.37296336003133013</v>
      </c>
    </row>
    <row r="343" spans="1:34" x14ac:dyDescent="0.2">
      <c r="A343" s="347">
        <f t="shared" ca="1" si="151"/>
        <v>0.1</v>
      </c>
      <c r="B343" s="304">
        <f t="shared" ca="1" si="152"/>
        <v>22.500000000000021</v>
      </c>
      <c r="D343" s="306">
        <f t="shared" ca="1" si="153"/>
        <v>-0.22023444294151098</v>
      </c>
      <c r="E343" s="307">
        <f t="shared" ca="1" si="154"/>
        <v>-9.4866631483130472</v>
      </c>
      <c r="F343" s="304">
        <f t="shared" ca="1" si="155"/>
        <v>9.4892191933487648</v>
      </c>
      <c r="G343" s="306">
        <f t="shared" ca="1" si="156"/>
        <v>18.41180167876125</v>
      </c>
      <c r="H343" s="307">
        <f t="shared" ca="1" si="157"/>
        <v>-28.012257732362325</v>
      </c>
      <c r="I343" s="304">
        <f t="shared" ca="1" si="158"/>
        <v>33.521351767527641</v>
      </c>
      <c r="J343" s="306">
        <f t="shared" ca="1" si="159"/>
        <v>443.64759897163037</v>
      </c>
      <c r="K343" s="307">
        <f t="shared" ca="1" si="160"/>
        <v>1819.3632607171646</v>
      </c>
      <c r="L343" s="304">
        <f t="shared" ca="1" si="145"/>
        <v>1872.6734543215712</v>
      </c>
      <c r="M343" s="306">
        <f t="shared" ca="1" si="161"/>
        <v>-0.98932273828237283</v>
      </c>
      <c r="N343" s="304">
        <f t="shared" ca="1" si="162"/>
        <v>-56.684017479905684</v>
      </c>
      <c r="P343" s="310">
        <f t="shared" ca="1" si="163"/>
        <v>23</v>
      </c>
      <c r="Q343" s="304">
        <f t="shared" ca="1" si="164"/>
        <v>0</v>
      </c>
      <c r="R343" s="306">
        <f t="shared" ca="1" si="165"/>
        <v>0</v>
      </c>
      <c r="S343" s="307">
        <f t="shared" ca="1" si="166"/>
        <v>4.0843000000000034</v>
      </c>
      <c r="T343" s="304">
        <f t="shared" ca="1" si="146"/>
        <v>40.066983000000036</v>
      </c>
      <c r="U343" s="311">
        <f t="shared" ca="1" si="147"/>
        <v>0</v>
      </c>
      <c r="V343" s="306">
        <f t="shared" ca="1" si="148"/>
        <v>1.0207117292793748</v>
      </c>
      <c r="W343" s="304">
        <f t="shared" ca="1" si="149"/>
        <v>1.6749593197950354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 t="e">
        <f t="shared" ca="1" si="150"/>
        <v>#N/A</v>
      </c>
      <c r="AG343" s="306">
        <f t="shared" ca="1" si="172"/>
        <v>7.7166702612302434</v>
      </c>
      <c r="AH343" s="304">
        <f t="shared" ca="1" si="173"/>
        <v>-0.3912159627578975</v>
      </c>
    </row>
    <row r="344" spans="1:34" x14ac:dyDescent="0.2">
      <c r="A344" s="347">
        <f t="shared" ca="1" si="151"/>
        <v>0.1</v>
      </c>
      <c r="B344" s="304">
        <f t="shared" ca="1" si="152"/>
        <v>22.600000000000023</v>
      </c>
      <c r="D344" s="306">
        <f t="shared" ca="1" si="153"/>
        <v>-0.22524823368342584</v>
      </c>
      <c r="E344" s="307">
        <f t="shared" ca="1" si="154"/>
        <v>-9.4673006984439763</v>
      </c>
      <c r="F344" s="304">
        <f t="shared" ca="1" si="155"/>
        <v>9.4699798986869723</v>
      </c>
      <c r="G344" s="306">
        <f t="shared" ca="1" si="156"/>
        <v>18.389276855392907</v>
      </c>
      <c r="H344" s="307">
        <f t="shared" ca="1" si="157"/>
        <v>-28.958987802206725</v>
      </c>
      <c r="I344" s="304">
        <f t="shared" ca="1" si="158"/>
        <v>34.304350712302472</v>
      </c>
      <c r="J344" s="306">
        <f t="shared" ca="1" si="159"/>
        <v>445.48765289833807</v>
      </c>
      <c r="K344" s="307">
        <f t="shared" ca="1" si="160"/>
        <v>1816.5146984404362</v>
      </c>
      <c r="L344" s="304">
        <f t="shared" ca="1" si="145"/>
        <v>1870.3435242048502</v>
      </c>
      <c r="M344" s="306">
        <f t="shared" ca="1" si="161"/>
        <v>-1.0050304321156347</v>
      </c>
      <c r="N344" s="304">
        <f t="shared" ca="1" si="162"/>
        <v>-57.584002042435259</v>
      </c>
      <c r="P344" s="310">
        <f t="shared" ca="1" si="163"/>
        <v>23</v>
      </c>
      <c r="Q344" s="304">
        <f t="shared" ca="1" si="164"/>
        <v>0</v>
      </c>
      <c r="R344" s="306">
        <f t="shared" ca="1" si="165"/>
        <v>0</v>
      </c>
      <c r="S344" s="307">
        <f t="shared" ca="1" si="166"/>
        <v>4.0843000000000034</v>
      </c>
      <c r="T344" s="304">
        <f t="shared" ca="1" si="146"/>
        <v>40.066983000000036</v>
      </c>
      <c r="U344" s="311">
        <f t="shared" ca="1" si="147"/>
        <v>0</v>
      </c>
      <c r="V344" s="306">
        <f t="shared" ca="1" si="148"/>
        <v>1.0210049497962566</v>
      </c>
      <c r="W344" s="304">
        <f t="shared" ca="1" si="149"/>
        <v>1.7546252156906341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 t="e">
        <f t="shared" ca="1" si="150"/>
        <v>#N/A</v>
      </c>
      <c r="AG344" s="306">
        <f t="shared" ca="1" si="172"/>
        <v>7.7876704733727378</v>
      </c>
      <c r="AH344" s="304">
        <f t="shared" ca="1" si="173"/>
        <v>-0.4100970349374517</v>
      </c>
    </row>
    <row r="345" spans="1:34" x14ac:dyDescent="0.2">
      <c r="A345" s="347">
        <f t="shared" ca="1" si="151"/>
        <v>0.1</v>
      </c>
      <c r="B345" s="304">
        <f t="shared" ca="1" si="152"/>
        <v>22.700000000000024</v>
      </c>
      <c r="D345" s="306">
        <f t="shared" ca="1" si="153"/>
        <v>-0.23029376472063834</v>
      </c>
      <c r="E345" s="307">
        <f t="shared" ca="1" si="154"/>
        <v>-9.44733895705021</v>
      </c>
      <c r="F345" s="304">
        <f t="shared" ca="1" si="155"/>
        <v>9.450145426789355</v>
      </c>
      <c r="G345" s="306">
        <f t="shared" ca="1" si="156"/>
        <v>18.366247478920844</v>
      </c>
      <c r="H345" s="307">
        <f t="shared" ca="1" si="157"/>
        <v>-29.903721697911745</v>
      </c>
      <c r="I345" s="304">
        <f t="shared" ca="1" si="158"/>
        <v>35.093469732175585</v>
      </c>
      <c r="J345" s="306">
        <f t="shared" ca="1" si="159"/>
        <v>447.32542911505374</v>
      </c>
      <c r="K345" s="307">
        <f t="shared" ca="1" si="160"/>
        <v>1813.5715629654303</v>
      </c>
      <c r="L345" s="304">
        <f t="shared" ca="1" si="145"/>
        <v>1867.9244774695364</v>
      </c>
      <c r="M345" s="306">
        <f t="shared" ca="1" si="161"/>
        <v>-1.0200160412321946</v>
      </c>
      <c r="N345" s="304">
        <f t="shared" ca="1" si="162"/>
        <v>-58.442614198246908</v>
      </c>
      <c r="P345" s="310">
        <f t="shared" ca="1" si="163"/>
        <v>23</v>
      </c>
      <c r="Q345" s="304">
        <f t="shared" ca="1" si="164"/>
        <v>0</v>
      </c>
      <c r="R345" s="306">
        <f t="shared" ca="1" si="165"/>
        <v>0</v>
      </c>
      <c r="S345" s="307">
        <f t="shared" ca="1" si="166"/>
        <v>4.0843000000000034</v>
      </c>
      <c r="T345" s="304">
        <f t="shared" ca="1" si="146"/>
        <v>40.066983000000036</v>
      </c>
      <c r="U345" s="311">
        <f t="shared" ca="1" si="147"/>
        <v>0</v>
      </c>
      <c r="V345" s="306">
        <f t="shared" ca="1" si="148"/>
        <v>1.0213079857674958</v>
      </c>
      <c r="W345" s="304">
        <f t="shared" ca="1" si="149"/>
        <v>1.8368236314560249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 t="e">
        <f t="shared" ca="1" si="150"/>
        <v>#N/A</v>
      </c>
      <c r="AG345" s="306">
        <f t="shared" ca="1" si="172"/>
        <v>7.8517865002591227</v>
      </c>
      <c r="AH345" s="304">
        <f t="shared" ca="1" si="173"/>
        <v>-0.42960243265446529</v>
      </c>
    </row>
    <row r="346" spans="1:34" x14ac:dyDescent="0.2">
      <c r="A346" s="347">
        <f t="shared" ca="1" si="151"/>
        <v>0.1</v>
      </c>
      <c r="B346" s="304">
        <f t="shared" ca="1" si="152"/>
        <v>22.800000000000026</v>
      </c>
      <c r="D346" s="306">
        <f t="shared" ca="1" si="153"/>
        <v>-0.23536611897874882</v>
      </c>
      <c r="E346" s="307">
        <f t="shared" ca="1" si="154"/>
        <v>-9.4267794794698236</v>
      </c>
      <c r="F346" s="304">
        <f t="shared" ca="1" si="155"/>
        <v>9.4297173109545795</v>
      </c>
      <c r="G346" s="306">
        <f t="shared" ca="1" si="156"/>
        <v>18.342710867022969</v>
      </c>
      <c r="H346" s="307">
        <f t="shared" ca="1" si="157"/>
        <v>-30.846399645858728</v>
      </c>
      <c r="I346" s="304">
        <f t="shared" ca="1" si="158"/>
        <v>35.888095701266124</v>
      </c>
      <c r="J346" s="306">
        <f t="shared" ca="1" si="159"/>
        <v>449.16087703235092</v>
      </c>
      <c r="K346" s="307">
        <f t="shared" ca="1" si="160"/>
        <v>1810.5340568982417</v>
      </c>
      <c r="L346" s="304">
        <f t="shared" ca="1" si="145"/>
        <v>1865.4165927869508</v>
      </c>
      <c r="M346" s="306">
        <f t="shared" ca="1" si="161"/>
        <v>-1.0343223478946404</v>
      </c>
      <c r="N346" s="304">
        <f t="shared" ca="1" si="162"/>
        <v>-59.262305190424946</v>
      </c>
      <c r="P346" s="310">
        <f t="shared" ca="1" si="163"/>
        <v>23</v>
      </c>
      <c r="Q346" s="304">
        <f t="shared" ca="1" si="164"/>
        <v>0</v>
      </c>
      <c r="R346" s="306">
        <f t="shared" ca="1" si="165"/>
        <v>0</v>
      </c>
      <c r="S346" s="307">
        <f t="shared" ca="1" si="166"/>
        <v>4.0843000000000034</v>
      </c>
      <c r="T346" s="304">
        <f t="shared" ca="1" si="146"/>
        <v>40.066983000000036</v>
      </c>
      <c r="U346" s="311">
        <f t="shared" ca="1" si="147"/>
        <v>0</v>
      </c>
      <c r="V346" s="306">
        <f t="shared" ca="1" si="148"/>
        <v>1.0216208242389306</v>
      </c>
      <c r="W346" s="304">
        <f t="shared" ca="1" si="149"/>
        <v>1.9215366699964747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 t="e">
        <f t="shared" ca="1" si="150"/>
        <v>#N/A</v>
      </c>
      <c r="AG346" s="306">
        <f t="shared" ca="1" si="172"/>
        <v>7.9095341609336582</v>
      </c>
      <c r="AH346" s="304">
        <f t="shared" ca="1" si="173"/>
        <v>-0.44972789252895806</v>
      </c>
    </row>
    <row r="347" spans="1:34" x14ac:dyDescent="0.2">
      <c r="A347" s="347">
        <f t="shared" ca="1" si="151"/>
        <v>0.1</v>
      </c>
      <c r="B347" s="304">
        <f t="shared" ca="1" si="152"/>
        <v>22.900000000000027</v>
      </c>
      <c r="D347" s="306">
        <f t="shared" ca="1" si="153"/>
        <v>-0.24046072294750762</v>
      </c>
      <c r="E347" s="307">
        <f t="shared" ca="1" si="154"/>
        <v>-9.4056242448052743</v>
      </c>
      <c r="F347" s="304">
        <f t="shared" ca="1" si="155"/>
        <v>9.4086975078248329</v>
      </c>
      <c r="G347" s="306">
        <f t="shared" ca="1" si="156"/>
        <v>18.318664794728218</v>
      </c>
      <c r="H347" s="307">
        <f t="shared" ca="1" si="157"/>
        <v>-31.786962070339257</v>
      </c>
      <c r="I347" s="304">
        <f t="shared" ca="1" si="158"/>
        <v>36.687660562139982</v>
      </c>
      <c r="J347" s="306">
        <f t="shared" ca="1" si="159"/>
        <v>450.99394581543851</v>
      </c>
      <c r="K347" s="307">
        <f t="shared" ca="1" si="160"/>
        <v>1807.4023888124318</v>
      </c>
      <c r="L347" s="304">
        <f t="shared" ca="1" si="145"/>
        <v>1862.8201561737148</v>
      </c>
      <c r="M347" s="306">
        <f t="shared" ca="1" si="161"/>
        <v>-1.0479894240528778</v>
      </c>
      <c r="N347" s="304">
        <f t="shared" ca="1" si="162"/>
        <v>-60.045370972575817</v>
      </c>
      <c r="P347" s="310">
        <f t="shared" ca="1" si="163"/>
        <v>23</v>
      </c>
      <c r="Q347" s="304">
        <f t="shared" ca="1" si="164"/>
        <v>0</v>
      </c>
      <c r="R347" s="306">
        <f t="shared" ca="1" si="165"/>
        <v>0</v>
      </c>
      <c r="S347" s="307">
        <f t="shared" ca="1" si="166"/>
        <v>4.0843000000000034</v>
      </c>
      <c r="T347" s="304">
        <f t="shared" ca="1" si="146"/>
        <v>40.066983000000036</v>
      </c>
      <c r="U347" s="311">
        <f t="shared" ca="1" si="147"/>
        <v>0</v>
      </c>
      <c r="V347" s="306">
        <f t="shared" ca="1" si="148"/>
        <v>1.021943451877507</v>
      </c>
      <c r="W347" s="304">
        <f t="shared" ca="1" si="149"/>
        <v>2.0087459543649526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 t="e">
        <f t="shared" ca="1" si="150"/>
        <v>#N/A</v>
      </c>
      <c r="AG347" s="306">
        <f t="shared" ca="1" si="172"/>
        <v>7.9613848903122522</v>
      </c>
      <c r="AH347" s="304">
        <f t="shared" ca="1" si="173"/>
        <v>-0.47046903263630807</v>
      </c>
    </row>
    <row r="348" spans="1:34" x14ac:dyDescent="0.2">
      <c r="A348" s="347">
        <f t="shared" ca="1" si="151"/>
        <v>0.1</v>
      </c>
      <c r="B348" s="304">
        <f t="shared" ca="1" si="152"/>
        <v>23.000000000000028</v>
      </c>
      <c r="D348" s="306">
        <f t="shared" ca="1" si="153"/>
        <v>-0.24557331748052533</v>
      </c>
      <c r="E348" s="307">
        <f t="shared" ca="1" si="154"/>
        <v>-9.3838756172618396</v>
      </c>
      <c r="F348" s="304">
        <f t="shared" ca="1" si="155"/>
        <v>9.3870883587244283</v>
      </c>
      <c r="G348" s="306">
        <f t="shared" ca="1" si="156"/>
        <v>18.294107462980165</v>
      </c>
      <c r="H348" s="307">
        <f t="shared" ca="1" si="157"/>
        <v>-32.725349632065438</v>
      </c>
      <c r="I348" s="304">
        <f t="shared" ca="1" si="158"/>
        <v>37.4916374196699</v>
      </c>
      <c r="J348" s="306">
        <f t="shared" ca="1" si="159"/>
        <v>452.82458442832393</v>
      </c>
      <c r="K348" s="307">
        <f t="shared" ca="1" si="160"/>
        <v>1804.1767732273115</v>
      </c>
      <c r="L348" s="304">
        <f t="shared" ca="1" si="145"/>
        <v>1860.1354610123421</v>
      </c>
      <c r="M348" s="306">
        <f t="shared" ca="1" si="161"/>
        <v>-1.0610547651251458</v>
      </c>
      <c r="N348" s="304">
        <f t="shared" ca="1" si="162"/>
        <v>-60.793959873915711</v>
      </c>
      <c r="P348" s="310">
        <f t="shared" ca="1" si="163"/>
        <v>23</v>
      </c>
      <c r="Q348" s="304">
        <f t="shared" ca="1" si="164"/>
        <v>0</v>
      </c>
      <c r="R348" s="306">
        <f t="shared" ca="1" si="165"/>
        <v>0</v>
      </c>
      <c r="S348" s="307">
        <f t="shared" ca="1" si="166"/>
        <v>4.0843000000000034</v>
      </c>
      <c r="T348" s="304">
        <f t="shared" ca="1" si="146"/>
        <v>40.066983000000036</v>
      </c>
      <c r="U348" s="311">
        <f t="shared" ca="1" si="147"/>
        <v>0</v>
      </c>
      <c r="V348" s="306">
        <f t="shared" ca="1" si="148"/>
        <v>1.0222758549713107</v>
      </c>
      <c r="W348" s="304">
        <f t="shared" ca="1" si="149"/>
        <v>2.098432632594267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>
        <f t="shared" ca="1" si="170"/>
        <v>23.000000000000028</v>
      </c>
      <c r="AD348" s="323">
        <f t="shared" ca="1" si="171"/>
        <v>452.82458442832393</v>
      </c>
      <c r="AE348" s="324" t="e">
        <f t="shared" ca="1" si="150"/>
        <v>#N/A</v>
      </c>
      <c r="AG348" s="306">
        <f t="shared" ca="1" si="172"/>
        <v>8.0077693298439048</v>
      </c>
      <c r="AH348" s="304">
        <f t="shared" ca="1" si="173"/>
        <v>-0.49182135356485834</v>
      </c>
    </row>
    <row r="349" spans="1:34" x14ac:dyDescent="0.2">
      <c r="A349" s="347">
        <f t="shared" ca="1" si="151"/>
        <v>0.1</v>
      </c>
      <c r="B349" s="304">
        <f t="shared" ca="1" si="152"/>
        <v>23.10000000000003</v>
      </c>
      <c r="D349" s="306">
        <f t="shared" ca="1" si="153"/>
        <v>-0.25069993103712435</v>
      </c>
      <c r="E349" s="307">
        <f t="shared" ca="1" si="154"/>
        <v>-9.3615363123056632</v>
      </c>
      <c r="F349" s="304">
        <f t="shared" ca="1" si="155"/>
        <v>9.3648925558192886</v>
      </c>
      <c r="G349" s="306">
        <f t="shared" ca="1" si="156"/>
        <v>18.269037469876451</v>
      </c>
      <c r="H349" s="307">
        <f t="shared" ca="1" si="157"/>
        <v>-33.661503263296005</v>
      </c>
      <c r="I349" s="304">
        <f t="shared" ca="1" si="158"/>
        <v>38.299536968749862</v>
      </c>
      <c r="J349" s="306">
        <f t="shared" ca="1" si="159"/>
        <v>454.65274167496676</v>
      </c>
      <c r="K349" s="307">
        <f t="shared" ca="1" si="160"/>
        <v>1800.8574305825434</v>
      </c>
      <c r="L349" s="304">
        <f t="shared" ca="1" si="145"/>
        <v>1857.3628080687208</v>
      </c>
      <c r="M349" s="306">
        <f t="shared" ca="1" si="161"/>
        <v>-1.0735534295770166</v>
      </c>
      <c r="N349" s="304">
        <f t="shared" ca="1" si="162"/>
        <v>-61.510080596558097</v>
      </c>
      <c r="P349" s="310">
        <f t="shared" ca="1" si="163"/>
        <v>23</v>
      </c>
      <c r="Q349" s="304">
        <f t="shared" ca="1" si="164"/>
        <v>0</v>
      </c>
      <c r="R349" s="306">
        <f t="shared" ca="1" si="165"/>
        <v>0</v>
      </c>
      <c r="S349" s="307">
        <f t="shared" ca="1" si="166"/>
        <v>4.0843000000000034</v>
      </c>
      <c r="T349" s="304">
        <f t="shared" ca="1" si="146"/>
        <v>40.066983000000036</v>
      </c>
      <c r="U349" s="311">
        <f t="shared" ca="1" si="147"/>
        <v>0</v>
      </c>
      <c r="V349" s="306">
        <f t="shared" ca="1" si="148"/>
        <v>1.0226180194299206</v>
      </c>
      <c r="W349" s="304">
        <f t="shared" ca="1" si="149"/>
        <v>2.1905773829974251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 t="e">
        <f t="shared" ca="1" si="150"/>
        <v>#N/A</v>
      </c>
      <c r="AG349" s="306">
        <f t="shared" ca="1" si="172"/>
        <v>8.0490807604951371</v>
      </c>
      <c r="AH349" s="304">
        <f t="shared" ca="1" si="173"/>
        <v>-0.51378023959901709</v>
      </c>
    </row>
    <row r="350" spans="1:34" x14ac:dyDescent="0.2">
      <c r="A350" s="347">
        <f t="shared" ca="1" si="151"/>
        <v>0.1</v>
      </c>
      <c r="B350" s="304">
        <f t="shared" ca="1" si="152"/>
        <v>23.200000000000031</v>
      </c>
      <c r="D350" s="306">
        <f t="shared" ca="1" si="153"/>
        <v>-0.25583685523861488</v>
      </c>
      <c r="E350" s="307">
        <f t="shared" ca="1" si="154"/>
        <v>-9.3386093669857555</v>
      </c>
      <c r="F350" s="304">
        <f t="shared" ca="1" si="155"/>
        <v>9.342113112441556</v>
      </c>
      <c r="G350" s="306">
        <f t="shared" ca="1" si="156"/>
        <v>18.243453784352589</v>
      </c>
      <c r="H350" s="307">
        <f t="shared" ca="1" si="157"/>
        <v>-34.595364199994577</v>
      </c>
      <c r="I350" s="304">
        <f t="shared" ca="1" si="158"/>
        <v>39.110904235418481</v>
      </c>
      <c r="J350" s="306">
        <f t="shared" ca="1" si="159"/>
        <v>456.47836623767819</v>
      </c>
      <c r="K350" s="307">
        <f t="shared" ca="1" si="160"/>
        <v>1797.4445872093788</v>
      </c>
      <c r="L350" s="304">
        <f t="shared" ca="1" si="145"/>
        <v>1854.502505506885</v>
      </c>
      <c r="M350" s="306">
        <f t="shared" ca="1" si="161"/>
        <v>-1.0855181803193794</v>
      </c>
      <c r="N350" s="304">
        <f t="shared" ca="1" si="162"/>
        <v>-62.195610317021504</v>
      </c>
      <c r="P350" s="310">
        <f t="shared" ca="1" si="163"/>
        <v>23</v>
      </c>
      <c r="Q350" s="304">
        <f t="shared" ca="1" si="164"/>
        <v>0</v>
      </c>
      <c r="R350" s="306">
        <f t="shared" ca="1" si="165"/>
        <v>0</v>
      </c>
      <c r="S350" s="307">
        <f t="shared" ca="1" si="166"/>
        <v>4.0843000000000034</v>
      </c>
      <c r="T350" s="304">
        <f t="shared" ca="1" si="146"/>
        <v>40.066983000000036</v>
      </c>
      <c r="U350" s="311">
        <f t="shared" ca="1" si="147"/>
        <v>0</v>
      </c>
      <c r="V350" s="306">
        <f t="shared" ca="1" si="148"/>
        <v>1.0229699307850488</v>
      </c>
      <c r="W350" s="304">
        <f t="shared" ca="1" si="149"/>
        <v>2.2851604198969775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 t="e">
        <f t="shared" ca="1" si="150"/>
        <v>#N/A</v>
      </c>
      <c r="AG350" s="306">
        <f t="shared" ca="1" si="172"/>
        <v>8.0856783422626375</v>
      </c>
      <c r="AH350" s="304">
        <f t="shared" ca="1" si="173"/>
        <v>-0.5363409600169976</v>
      </c>
    </row>
    <row r="351" spans="1:34" x14ac:dyDescent="0.2">
      <c r="A351" s="347">
        <f t="shared" ca="1" si="151"/>
        <v>0.1</v>
      </c>
      <c r="B351" s="304">
        <f t="shared" ca="1" si="152"/>
        <v>23.300000000000033</v>
      </c>
      <c r="D351" s="306">
        <f t="shared" ca="1" si="153"/>
        <v>-0.26098062259355842</v>
      </c>
      <c r="E351" s="307">
        <f t="shared" ca="1" si="154"/>
        <v>-9.3150981138500537</v>
      </c>
      <c r="F351" s="304">
        <f t="shared" ca="1" si="155"/>
        <v>9.3187533370093103</v>
      </c>
      <c r="G351" s="306">
        <f t="shared" ca="1" si="156"/>
        <v>18.217355722093235</v>
      </c>
      <c r="H351" s="307">
        <f t="shared" ca="1" si="157"/>
        <v>-35.526874011379583</v>
      </c>
      <c r="I351" s="304">
        <f t="shared" ca="1" si="158"/>
        <v>39.925315609594385</v>
      </c>
      <c r="J351" s="306">
        <f t="shared" ca="1" si="159"/>
        <v>458.30140671300046</v>
      </c>
      <c r="K351" s="307">
        <f t="shared" ca="1" si="160"/>
        <v>1793.9384752988101</v>
      </c>
      <c r="L351" s="304">
        <f t="shared" ca="1" si="145"/>
        <v>1851.5548689014147</v>
      </c>
      <c r="M351" s="306">
        <f t="shared" ca="1" si="161"/>
        <v>-1.096979624983345</v>
      </c>
      <c r="N351" s="304">
        <f t="shared" ca="1" si="162"/>
        <v>-62.852302723389471</v>
      </c>
      <c r="P351" s="310">
        <f t="shared" ca="1" si="163"/>
        <v>23</v>
      </c>
      <c r="Q351" s="304">
        <f t="shared" ca="1" si="164"/>
        <v>0</v>
      </c>
      <c r="R351" s="306">
        <f t="shared" ca="1" si="165"/>
        <v>0</v>
      </c>
      <c r="S351" s="307">
        <f t="shared" ca="1" si="166"/>
        <v>4.0843000000000034</v>
      </c>
      <c r="T351" s="304">
        <f t="shared" ca="1" si="146"/>
        <v>40.066983000000036</v>
      </c>
      <c r="U351" s="311">
        <f t="shared" ca="1" si="147"/>
        <v>0</v>
      </c>
      <c r="V351" s="306">
        <f t="shared" ca="1" si="148"/>
        <v>1.0233315741914415</v>
      </c>
      <c r="W351" s="304">
        <f t="shared" ca="1" si="149"/>
        <v>2.382161499748519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 t="e">
        <f t="shared" ca="1" si="150"/>
        <v>#N/A</v>
      </c>
      <c r="AG351" s="306">
        <f t="shared" ca="1" si="172"/>
        <v>8.117890140543075</v>
      </c>
      <c r="AH351" s="304">
        <f t="shared" ca="1" si="173"/>
        <v>-0.55949867049359148</v>
      </c>
    </row>
    <row r="352" spans="1:34" x14ac:dyDescent="0.2">
      <c r="A352" s="347">
        <f t="shared" ca="1" si="151"/>
        <v>0.1</v>
      </c>
      <c r="B352" s="304">
        <f t="shared" ca="1" si="152"/>
        <v>23.400000000000034</v>
      </c>
      <c r="D352" s="306">
        <f t="shared" ca="1" si="153"/>
        <v>-0.26612798623817746</v>
      </c>
      <c r="E352" s="307">
        <f t="shared" ca="1" si="154"/>
        <v>-9.2910061579617924</v>
      </c>
      <c r="F352" s="304">
        <f t="shared" ca="1" si="155"/>
        <v>9.2948168100475836</v>
      </c>
      <c r="G352" s="306">
        <f t="shared" ca="1" si="156"/>
        <v>18.190742923469418</v>
      </c>
      <c r="H352" s="307">
        <f t="shared" ca="1" si="157"/>
        <v>-36.455974627175763</v>
      </c>
      <c r="I352" s="304">
        <f t="shared" ca="1" si="158"/>
        <v>40.74237614726264</v>
      </c>
      <c r="J352" s="306">
        <f t="shared" ca="1" si="159"/>
        <v>460.12181164527857</v>
      </c>
      <c r="K352" s="307">
        <f t="shared" ca="1" si="160"/>
        <v>1790.3393328668824</v>
      </c>
      <c r="L352" s="304">
        <f t="shared" ca="1" si="145"/>
        <v>1848.5202212477868</v>
      </c>
      <c r="M352" s="306">
        <f t="shared" ca="1" si="161"/>
        <v>-1.1079663529468724</v>
      </c>
      <c r="N352" s="304">
        <f t="shared" ca="1" si="162"/>
        <v>-63.481795866357949</v>
      </c>
      <c r="P352" s="310">
        <f t="shared" ca="1" si="163"/>
        <v>23</v>
      </c>
      <c r="Q352" s="304">
        <f t="shared" ca="1" si="164"/>
        <v>0</v>
      </c>
      <c r="R352" s="306">
        <f t="shared" ca="1" si="165"/>
        <v>0</v>
      </c>
      <c r="S352" s="307">
        <f t="shared" ca="1" si="166"/>
        <v>4.0843000000000034</v>
      </c>
      <c r="T352" s="304">
        <f t="shared" ca="1" si="146"/>
        <v>40.066983000000036</v>
      </c>
      <c r="U352" s="311">
        <f t="shared" ca="1" si="147"/>
        <v>0</v>
      </c>
      <c r="V352" s="306">
        <f t="shared" ca="1" si="148"/>
        <v>1.0237029344280171</v>
      </c>
      <c r="W352" s="304">
        <f t="shared" ca="1" si="149"/>
        <v>2.4815599276272913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 t="e">
        <f t="shared" ca="1" si="150"/>
        <v>#N/A</v>
      </c>
      <c r="AG352" s="306">
        <f t="shared" ca="1" si="172"/>
        <v>8.1460159313505667</v>
      </c>
      <c r="AH352" s="304">
        <f t="shared" ca="1" si="173"/>
        <v>-0.58324841459944599</v>
      </c>
    </row>
    <row r="353" spans="1:34" x14ac:dyDescent="0.2">
      <c r="A353" s="347">
        <f t="shared" ca="1" si="151"/>
        <v>0.1</v>
      </c>
      <c r="B353" s="304">
        <f t="shared" ca="1" si="152"/>
        <v>23.500000000000036</v>
      </c>
      <c r="D353" s="306">
        <f t="shared" ca="1" si="153"/>
        <v>-0.27127590153629888</v>
      </c>
      <c r="E353" s="307">
        <f t="shared" ca="1" si="154"/>
        <v>-9.2663373565896485</v>
      </c>
      <c r="F353" s="304">
        <f t="shared" ca="1" si="155"/>
        <v>9.2703073638840667</v>
      </c>
      <c r="G353" s="306">
        <f t="shared" ca="1" si="156"/>
        <v>18.163615333315789</v>
      </c>
      <c r="H353" s="307">
        <f t="shared" ca="1" si="157"/>
        <v>-37.382608362834731</v>
      </c>
      <c r="I353" s="304">
        <f t="shared" ca="1" si="158"/>
        <v>41.561717120274828</v>
      </c>
      <c r="J353" s="306">
        <f t="shared" ca="1" si="159"/>
        <v>461.93952955811784</v>
      </c>
      <c r="K353" s="307">
        <f t="shared" ca="1" si="160"/>
        <v>1786.6474037173818</v>
      </c>
      <c r="L353" s="304">
        <f t="shared" ca="1" si="145"/>
        <v>1845.3988929709578</v>
      </c>
      <c r="M353" s="306">
        <f t="shared" ca="1" si="161"/>
        <v>-1.1185050676255774</v>
      </c>
      <c r="N353" s="304">
        <f t="shared" ca="1" si="162"/>
        <v>-64.085619738940323</v>
      </c>
      <c r="P353" s="310">
        <f t="shared" ca="1" si="163"/>
        <v>23</v>
      </c>
      <c r="Q353" s="304">
        <f t="shared" ca="1" si="164"/>
        <v>0</v>
      </c>
      <c r="R353" s="306">
        <f t="shared" ca="1" si="165"/>
        <v>0</v>
      </c>
      <c r="S353" s="307">
        <f t="shared" ca="1" si="166"/>
        <v>4.0843000000000034</v>
      </c>
      <c r="T353" s="304">
        <f t="shared" ca="1" si="146"/>
        <v>40.066983000000036</v>
      </c>
      <c r="U353" s="311">
        <f t="shared" ca="1" si="147"/>
        <v>0</v>
      </c>
      <c r="V353" s="306">
        <f t="shared" ca="1" si="148"/>
        <v>1.0240839958992174</v>
      </c>
      <c r="W353" s="304">
        <f t="shared" ca="1" si="149"/>
        <v>2.5833345640501104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 t="e">
        <f t="shared" ca="1" si="150"/>
        <v>#N/A</v>
      </c>
      <c r="AG353" s="306">
        <f t="shared" ca="1" si="172"/>
        <v>8.1703297856099404</v>
      </c>
      <c r="AH353" s="304">
        <f t="shared" ca="1" si="173"/>
        <v>-0.60758512538924403</v>
      </c>
    </row>
    <row r="354" spans="1:34" x14ac:dyDescent="0.2">
      <c r="A354" s="347">
        <f t="shared" ca="1" si="151"/>
        <v>0.1</v>
      </c>
      <c r="B354" s="304">
        <f t="shared" ca="1" si="152"/>
        <v>23.600000000000037</v>
      </c>
      <c r="D354" s="306">
        <f t="shared" ca="1" si="153"/>
        <v>-0.27642150938605375</v>
      </c>
      <c r="E354" s="307">
        <f t="shared" ca="1" si="154"/>
        <v>-9.2410958012037945</v>
      </c>
      <c r="F354" s="304">
        <f t="shared" ca="1" si="155"/>
        <v>9.2452290646515447</v>
      </c>
      <c r="G354" s="306">
        <f t="shared" ca="1" si="156"/>
        <v>18.135973182377185</v>
      </c>
      <c r="H354" s="307">
        <f t="shared" ca="1" si="157"/>
        <v>-38.30671794295511</v>
      </c>
      <c r="I354" s="304">
        <f t="shared" ca="1" si="158"/>
        <v>42.382993792711524</v>
      </c>
      <c r="J354" s="306">
        <f t="shared" ca="1" si="159"/>
        <v>463.7545089839025</v>
      </c>
      <c r="K354" s="307">
        <f t="shared" ca="1" si="160"/>
        <v>1782.8629374020923</v>
      </c>
      <c r="L354" s="304">
        <f t="shared" ca="1" si="145"/>
        <v>1842.1912219324349</v>
      </c>
      <c r="M354" s="306">
        <f t="shared" ca="1" si="161"/>
        <v>-1.128620713033277</v>
      </c>
      <c r="N354" s="304">
        <f t="shared" ca="1" si="162"/>
        <v>-64.665203527852398</v>
      </c>
      <c r="P354" s="310">
        <f t="shared" ca="1" si="163"/>
        <v>23</v>
      </c>
      <c r="Q354" s="304">
        <f t="shared" ca="1" si="164"/>
        <v>0</v>
      </c>
      <c r="R354" s="306">
        <f t="shared" ca="1" si="165"/>
        <v>0</v>
      </c>
      <c r="S354" s="307">
        <f t="shared" ca="1" si="166"/>
        <v>4.0843000000000034</v>
      </c>
      <c r="T354" s="304">
        <f t="shared" ca="1" si="146"/>
        <v>40.066983000000036</v>
      </c>
      <c r="U354" s="311">
        <f t="shared" ca="1" si="147"/>
        <v>0</v>
      </c>
      <c r="V354" s="306">
        <f t="shared" ca="1" si="148"/>
        <v>1.0244747426365586</v>
      </c>
      <c r="W354" s="304">
        <f t="shared" ca="1" si="149"/>
        <v>2.687463832107658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/>
      </c>
      <c r="AC354" s="310" t="e">
        <f t="shared" ca="1" si="170"/>
        <v>#N/A</v>
      </c>
      <c r="AD354" s="323" t="e">
        <f t="shared" ca="1" si="171"/>
        <v>#N/A</v>
      </c>
      <c r="AE354" s="324" t="e">
        <f t="shared" ca="1" si="150"/>
        <v>#N/A</v>
      </c>
      <c r="AG354" s="306">
        <f t="shared" ca="1" si="172"/>
        <v>8.1910824383967107</v>
      </c>
      <c r="AH354" s="304">
        <f t="shared" ca="1" si="173"/>
        <v>-0.63250362707198504</v>
      </c>
    </row>
    <row r="355" spans="1:34" x14ac:dyDescent="0.2">
      <c r="A355" s="347">
        <f t="shared" ca="1" si="151"/>
        <v>0.1</v>
      </c>
      <c r="B355" s="304">
        <f t="shared" ca="1" si="152"/>
        <v>23.700000000000038</v>
      </c>
      <c r="D355" s="306">
        <f t="shared" ca="1" si="153"/>
        <v>-0.28156212108646472</v>
      </c>
      <c r="E355" s="307">
        <f t="shared" ca="1" si="154"/>
        <v>-9.2152858014611585</v>
      </c>
      <c r="F355" s="304">
        <f t="shared" ca="1" si="155"/>
        <v>9.2195861962803036</v>
      </c>
      <c r="G355" s="306">
        <f t="shared" ca="1" si="156"/>
        <v>18.107816970268537</v>
      </c>
      <c r="H355" s="307">
        <f t="shared" ca="1" si="157"/>
        <v>-39.228246523101227</v>
      </c>
      <c r="I355" s="304">
        <f t="shared" ca="1" si="158"/>
        <v>43.2058834038369</v>
      </c>
      <c r="J355" s="306">
        <f t="shared" ca="1" si="159"/>
        <v>465.56669849153479</v>
      </c>
      <c r="K355" s="307">
        <f t="shared" ca="1" si="160"/>
        <v>1778.9861891787893</v>
      </c>
      <c r="L355" s="304">
        <f t="shared" ca="1" si="145"/>
        <v>1838.8975534360741</v>
      </c>
      <c r="M355" s="306">
        <f t="shared" ca="1" si="161"/>
        <v>-1.138336593995271</v>
      </c>
      <c r="N355" s="304">
        <f t="shared" ca="1" si="162"/>
        <v>-65.221882501226162</v>
      </c>
      <c r="P355" s="310">
        <f t="shared" ca="1" si="163"/>
        <v>23</v>
      </c>
      <c r="Q355" s="304">
        <f t="shared" ca="1" si="164"/>
        <v>0</v>
      </c>
      <c r="R355" s="306">
        <f t="shared" ca="1" si="165"/>
        <v>0</v>
      </c>
      <c r="S355" s="307">
        <f t="shared" ca="1" si="166"/>
        <v>4.0843000000000034</v>
      </c>
      <c r="T355" s="304">
        <f t="shared" ca="1" si="146"/>
        <v>40.066983000000036</v>
      </c>
      <c r="U355" s="311">
        <f t="shared" ca="1" si="147"/>
        <v>0</v>
      </c>
      <c r="V355" s="306">
        <f t="shared" ca="1" si="148"/>
        <v>1.024875158300361</v>
      </c>
      <c r="W355" s="304">
        <f t="shared" ca="1" si="149"/>
        <v>2.7939257248845903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 t="e">
        <f t="shared" ca="1" si="150"/>
        <v>#N/A</v>
      </c>
      <c r="AG355" s="306">
        <f t="shared" ca="1" si="172"/>
        <v>8.2085034526966751</v>
      </c>
      <c r="AH355" s="304">
        <f t="shared" ca="1" si="173"/>
        <v>-0.65799863675725478</v>
      </c>
    </row>
    <row r="356" spans="1:34" x14ac:dyDescent="0.2">
      <c r="A356" s="347">
        <f t="shared" ca="1" si="151"/>
        <v>0.1</v>
      </c>
      <c r="B356" s="304">
        <f t="shared" ca="1" si="152"/>
        <v>23.80000000000004</v>
      </c>
      <c r="D356" s="306">
        <f t="shared" ca="1" si="153"/>
        <v>-0.28669520462489267</v>
      </c>
      <c r="E356" s="307">
        <f t="shared" ca="1" si="154"/>
        <v>-9.188911870907349</v>
      </c>
      <c r="F356" s="304">
        <f t="shared" ca="1" si="155"/>
        <v>9.1933832462079437</v>
      </c>
      <c r="G356" s="306">
        <f t="shared" ca="1" si="156"/>
        <v>18.079147449806047</v>
      </c>
      <c r="H356" s="307">
        <f t="shared" ca="1" si="157"/>
        <v>-40.147137710191963</v>
      </c>
      <c r="I356" s="304">
        <f t="shared" ca="1" si="158"/>
        <v>44.030083338928016</v>
      </c>
      <c r="J356" s="306">
        <f t="shared" ca="1" si="159"/>
        <v>467.37604671253854</v>
      </c>
      <c r="K356" s="307">
        <f t="shared" ca="1" si="160"/>
        <v>1775.0174199671246</v>
      </c>
      <c r="L356" s="304">
        <f t="shared" ca="1" si="145"/>
        <v>1835.5182402328201</v>
      </c>
      <c r="M356" s="306">
        <f t="shared" ca="1" si="161"/>
        <v>-1.1476744896829467</v>
      </c>
      <c r="N356" s="304">
        <f t="shared" ca="1" si="162"/>
        <v>-65.756904513663386</v>
      </c>
      <c r="P356" s="310">
        <f t="shared" ca="1" si="163"/>
        <v>23</v>
      </c>
      <c r="Q356" s="304">
        <f t="shared" ca="1" si="164"/>
        <v>0</v>
      </c>
      <c r="R356" s="306">
        <f t="shared" ca="1" si="165"/>
        <v>0</v>
      </c>
      <c r="S356" s="307">
        <f t="shared" ca="1" si="166"/>
        <v>4.0843000000000034</v>
      </c>
      <c r="T356" s="304">
        <f t="shared" ca="1" si="146"/>
        <v>40.066983000000036</v>
      </c>
      <c r="U356" s="311">
        <f t="shared" ca="1" si="147"/>
        <v>0</v>
      </c>
      <c r="V356" s="306">
        <f t="shared" ca="1" si="148"/>
        <v>1.0252852261816459</v>
      </c>
      <c r="W356" s="304">
        <f t="shared" ca="1" si="149"/>
        <v>2.9026978131470065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 t="e">
        <f t="shared" ca="1" si="150"/>
        <v>#N/A</v>
      </c>
      <c r="AG356" s="306">
        <f t="shared" ca="1" si="172"/>
        <v>8.2228031895270419</v>
      </c>
      <c r="AH356" s="304">
        <f t="shared" ca="1" si="173"/>
        <v>-0.68406476627196533</v>
      </c>
    </row>
    <row r="357" spans="1:34" x14ac:dyDescent="0.2">
      <c r="A357" s="347">
        <f t="shared" ca="1" si="151"/>
        <v>0.1</v>
      </c>
      <c r="B357" s="304">
        <f t="shared" ca="1" si="152"/>
        <v>23.900000000000041</v>
      </c>
      <c r="D357" s="306">
        <f t="shared" ca="1" si="153"/>
        <v>-0.29181837225527246</v>
      </c>
      <c r="E357" s="307">
        <f t="shared" ca="1" si="154"/>
        <v>-9.1619787141609841</v>
      </c>
      <c r="F357" s="304">
        <f t="shared" ca="1" si="155"/>
        <v>9.1666248925722211</v>
      </c>
      <c r="G357" s="306">
        <f t="shared" ca="1" si="156"/>
        <v>18.049965612580522</v>
      </c>
      <c r="H357" s="307">
        <f t="shared" ca="1" si="157"/>
        <v>-41.063335581608058</v>
      </c>
      <c r="I357" s="304">
        <f t="shared" ca="1" si="158"/>
        <v>44.855309470597767</v>
      </c>
      <c r="J357" s="306">
        <f t="shared" ca="1" si="159"/>
        <v>469.18250236565785</v>
      </c>
      <c r="K357" s="307">
        <f t="shared" ca="1" si="160"/>
        <v>1770.9568963025347</v>
      </c>
      <c r="L357" s="304">
        <f t="shared" ca="1" si="145"/>
        <v>1832.0536425245871</v>
      </c>
      <c r="M357" s="306">
        <f t="shared" ca="1" si="161"/>
        <v>-1.1566547603514692</v>
      </c>
      <c r="N357" s="304">
        <f t="shared" ca="1" si="162"/>
        <v>-66.271436121854848</v>
      </c>
      <c r="P357" s="310">
        <f t="shared" ca="1" si="163"/>
        <v>23</v>
      </c>
      <c r="Q357" s="304">
        <f t="shared" ca="1" si="164"/>
        <v>0</v>
      </c>
      <c r="R357" s="306">
        <f t="shared" ca="1" si="165"/>
        <v>0</v>
      </c>
      <c r="S357" s="307">
        <f t="shared" ca="1" si="166"/>
        <v>4.0843000000000034</v>
      </c>
      <c r="T357" s="304">
        <f t="shared" ca="1" si="146"/>
        <v>40.066983000000036</v>
      </c>
      <c r="U357" s="311">
        <f t="shared" ca="1" si="147"/>
        <v>0</v>
      </c>
      <c r="V357" s="306">
        <f t="shared" ca="1" si="148"/>
        <v>1.0257049292041871</v>
      </c>
      <c r="W357" s="304">
        <f t="shared" ca="1" si="149"/>
        <v>3.0137572532786367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 t="e">
        <f t="shared" ca="1" si="150"/>
        <v>#N/A</v>
      </c>
      <c r="AG357" s="306">
        <f t="shared" ca="1" si="172"/>
        <v>8.2341745974885097</v>
      </c>
      <c r="AH357" s="304">
        <f t="shared" ca="1" si="173"/>
        <v>-0.71069652404255423</v>
      </c>
    </row>
    <row r="358" spans="1:34" x14ac:dyDescent="0.2">
      <c r="A358" s="347">
        <f t="shared" ca="1" si="151"/>
        <v>0.1</v>
      </c>
      <c r="B358" s="304">
        <f t="shared" ca="1" si="152"/>
        <v>24.000000000000043</v>
      </c>
      <c r="D358" s="306">
        <f t="shared" ca="1" si="153"/>
        <v>-0.29692936924652497</v>
      </c>
      <c r="E358" s="307">
        <f t="shared" ca="1" si="154"/>
        <v>-9.1344912153789917</v>
      </c>
      <c r="F358" s="304">
        <f t="shared" ca="1" si="155"/>
        <v>9.1393159926855088</v>
      </c>
      <c r="G358" s="306">
        <f t="shared" ca="1" si="156"/>
        <v>18.020272675655868</v>
      </c>
      <c r="H358" s="307">
        <f t="shared" ca="1" si="157"/>
        <v>-41.97678470314596</v>
      </c>
      <c r="I358" s="304">
        <f t="shared" ca="1" si="158"/>
        <v>45.681294654587646</v>
      </c>
      <c r="J358" s="306">
        <f t="shared" ca="1" si="159"/>
        <v>470.9860142800697</v>
      </c>
      <c r="K358" s="307">
        <f t="shared" ca="1" si="160"/>
        <v>1766.804890288297</v>
      </c>
      <c r="L358" s="304">
        <f t="shared" ca="1" si="145"/>
        <v>1828.504127967467</v>
      </c>
      <c r="M358" s="306">
        <f t="shared" ca="1" si="161"/>
        <v>-1.1652964473187308</v>
      </c>
      <c r="N358" s="304">
        <f t="shared" ca="1" si="162"/>
        <v>-66.766568312952145</v>
      </c>
      <c r="P358" s="310">
        <f t="shared" ca="1" si="163"/>
        <v>23</v>
      </c>
      <c r="Q358" s="304">
        <f t="shared" ca="1" si="164"/>
        <v>0</v>
      </c>
      <c r="R358" s="306">
        <f t="shared" ca="1" si="165"/>
        <v>0</v>
      </c>
      <c r="S358" s="307">
        <f t="shared" ca="1" si="166"/>
        <v>4.0843000000000034</v>
      </c>
      <c r="T358" s="304">
        <f t="shared" ca="1" si="146"/>
        <v>40.066983000000036</v>
      </c>
      <c r="U358" s="311">
        <f t="shared" ca="1" si="147"/>
        <v>0</v>
      </c>
      <c r="V358" s="306">
        <f t="shared" ca="1" si="148"/>
        <v>1.0261342499267012</v>
      </c>
      <c r="W358" s="304">
        <f t="shared" ca="1" si="149"/>
        <v>3.1270807954486428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>
        <f t="shared" ca="1" si="170"/>
        <v>24.000000000000043</v>
      </c>
      <c r="AD358" s="323">
        <f t="shared" ca="1" si="171"/>
        <v>470.9860142800697</v>
      </c>
      <c r="AE358" s="324" t="e">
        <f t="shared" ca="1" si="150"/>
        <v>#N/A</v>
      </c>
      <c r="AG358" s="306">
        <f t="shared" ca="1" si="172"/>
        <v>8.2427948353014937</v>
      </c>
      <c r="AH358" s="304">
        <f t="shared" ca="1" si="173"/>
        <v>-0.737888317038081</v>
      </c>
    </row>
    <row r="359" spans="1:34" x14ac:dyDescent="0.2">
      <c r="A359" s="347">
        <f t="shared" ca="1" si="151"/>
        <v>0.1</v>
      </c>
      <c r="B359" s="304">
        <f t="shared" ca="1" si="152"/>
        <v>24.100000000000044</v>
      </c>
      <c r="D359" s="306">
        <f t="shared" ca="1" si="153"/>
        <v>-0.30202606369009599</v>
      </c>
      <c r="E359" s="307">
        <f t="shared" ca="1" si="154"/>
        <v>-9.1064544278297745</v>
      </c>
      <c r="F359" s="304">
        <f t="shared" ca="1" si="155"/>
        <v>9.1114615726176797</v>
      </c>
      <c r="G359" s="306">
        <f t="shared" ca="1" si="156"/>
        <v>17.990070069286858</v>
      </c>
      <c r="H359" s="307">
        <f t="shared" ca="1" si="157"/>
        <v>-42.887430145928938</v>
      </c>
      <c r="I359" s="304">
        <f t="shared" ca="1" si="158"/>
        <v>46.507787365341137</v>
      </c>
      <c r="J359" s="306">
        <f t="shared" ca="1" si="159"/>
        <v>472.78653141731684</v>
      </c>
      <c r="K359" s="307">
        <f t="shared" ca="1" si="160"/>
        <v>1762.5616795458432</v>
      </c>
      <c r="L359" s="304">
        <f t="shared" ca="1" si="145"/>
        <v>1824.8700716744413</v>
      </c>
      <c r="M359" s="306">
        <f t="shared" ca="1" si="161"/>
        <v>-1.173617366336021</v>
      </c>
      <c r="N359" s="304">
        <f t="shared" ca="1" si="162"/>
        <v>-67.243321854313024</v>
      </c>
      <c r="P359" s="310">
        <f t="shared" ca="1" si="163"/>
        <v>23</v>
      </c>
      <c r="Q359" s="304">
        <f t="shared" ca="1" si="164"/>
        <v>0</v>
      </c>
      <c r="R359" s="306">
        <f t="shared" ca="1" si="165"/>
        <v>0</v>
      </c>
      <c r="S359" s="307">
        <f t="shared" ca="1" si="166"/>
        <v>4.0843000000000034</v>
      </c>
      <c r="T359" s="304">
        <f t="shared" ca="1" si="146"/>
        <v>40.066983000000036</v>
      </c>
      <c r="U359" s="311">
        <f t="shared" ca="1" si="147"/>
        <v>0</v>
      </c>
      <c r="V359" s="306">
        <f t="shared" ca="1" si="148"/>
        <v>1.0265731705451766</v>
      </c>
      <c r="W359" s="304">
        <f t="shared" ca="1" si="149"/>
        <v>3.2426447919952945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 t="e">
        <f t="shared" ca="1" si="150"/>
        <v>#N/A</v>
      </c>
      <c r="AG359" s="306">
        <f t="shared" ca="1" si="172"/>
        <v>8.2488267408447324</v>
      </c>
      <c r="AH359" s="304">
        <f t="shared" ca="1" si="173"/>
        <v>-0.76563445277003161</v>
      </c>
    </row>
    <row r="360" spans="1:34" x14ac:dyDescent="0.2">
      <c r="A360" s="347">
        <f t="shared" ca="1" si="151"/>
        <v>0.1</v>
      </c>
      <c r="B360" s="304">
        <f t="shared" ca="1" si="152"/>
        <v>24.200000000000045</v>
      </c>
      <c r="D360" s="306">
        <f t="shared" ca="1" si="153"/>
        <v>-0.3071064372649312</v>
      </c>
      <c r="E360" s="307">
        <f t="shared" ca="1" si="154"/>
        <v>-9.077873564425369</v>
      </c>
      <c r="F360" s="304">
        <f t="shared" ca="1" si="155"/>
        <v>9.0830668177385174</v>
      </c>
      <c r="G360" s="306">
        <f t="shared" ca="1" si="156"/>
        <v>17.959359425560365</v>
      </c>
      <c r="H360" s="307">
        <f t="shared" ca="1" si="157"/>
        <v>-43.795217502371479</v>
      </c>
      <c r="I360" s="304">
        <f t="shared" ca="1" si="158"/>
        <v>47.334550457952901</v>
      </c>
      <c r="J360" s="306">
        <f t="shared" ca="1" si="159"/>
        <v>474.58400289205917</v>
      </c>
      <c r="K360" s="307">
        <f t="shared" ca="1" si="160"/>
        <v>1758.2275471634282</v>
      </c>
      <c r="L360" s="304">
        <f t="shared" ca="1" si="145"/>
        <v>1821.1518562177553</v>
      </c>
      <c r="M360" s="306">
        <f t="shared" ca="1" si="161"/>
        <v>-1.1816341945790589</v>
      </c>
      <c r="N360" s="304">
        <f t="shared" ca="1" si="162"/>
        <v>-67.702652277720375</v>
      </c>
      <c r="P360" s="310">
        <f t="shared" ca="1" si="163"/>
        <v>23</v>
      </c>
      <c r="Q360" s="304">
        <f t="shared" ca="1" si="164"/>
        <v>0</v>
      </c>
      <c r="R360" s="306">
        <f t="shared" ca="1" si="165"/>
        <v>0</v>
      </c>
      <c r="S360" s="307">
        <f t="shared" ca="1" si="166"/>
        <v>4.0843000000000034</v>
      </c>
      <c r="T360" s="304">
        <f t="shared" ca="1" si="146"/>
        <v>40.066983000000036</v>
      </c>
      <c r="U360" s="311">
        <f t="shared" ca="1" si="147"/>
        <v>0</v>
      </c>
      <c r="V360" s="306">
        <f t="shared" ca="1" si="148"/>
        <v>1.0270216728953192</v>
      </c>
      <c r="W360" s="304">
        <f t="shared" ca="1" si="149"/>
        <v>3.3604252060109197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 t="e">
        <f t="shared" ca="1" si="150"/>
        <v>#N/A</v>
      </c>
      <c r="AG360" s="306">
        <f t="shared" ca="1" si="172"/>
        <v>8.2524201598281657</v>
      </c>
      <c r="AH360" s="304">
        <f t="shared" ca="1" si="173"/>
        <v>-0.79392914134497761</v>
      </c>
    </row>
    <row r="361" spans="1:34" x14ac:dyDescent="0.2">
      <c r="A361" s="347">
        <f t="shared" ca="1" si="151"/>
        <v>0.1</v>
      </c>
      <c r="B361" s="304">
        <f t="shared" ca="1" si="152"/>
        <v>24.300000000000047</v>
      </c>
      <c r="D361" s="306">
        <f t="shared" ca="1" si="153"/>
        <v>-0.31216857686717148</v>
      </c>
      <c r="E361" s="307">
        <f t="shared" ca="1" si="154"/>
        <v>-9.0487539890846094</v>
      </c>
      <c r="F361" s="304">
        <f t="shared" ca="1" si="155"/>
        <v>9.0541370640916359</v>
      </c>
      <c r="G361" s="306">
        <f t="shared" ca="1" si="156"/>
        <v>17.928142567873646</v>
      </c>
      <c r="H361" s="307">
        <f t="shared" ca="1" si="157"/>
        <v>-44.700092901279938</v>
      </c>
      <c r="I361" s="304">
        <f t="shared" ca="1" si="158"/>
        <v>48.161360044303777</v>
      </c>
      <c r="J361" s="306">
        <f t="shared" ca="1" si="159"/>
        <v>476.37837799173087</v>
      </c>
      <c r="K361" s="307">
        <f t="shared" ca="1" si="160"/>
        <v>1753.8027816432457</v>
      </c>
      <c r="L361" s="304">
        <f t="shared" ca="1" si="145"/>
        <v>1817.3498716311117</v>
      </c>
      <c r="M361" s="306">
        <f t="shared" ca="1" si="161"/>
        <v>-1.1893625515400745</v>
      </c>
      <c r="N361" s="304">
        <f t="shared" ca="1" si="162"/>
        <v>-68.145454514157123</v>
      </c>
      <c r="P361" s="310">
        <f t="shared" ca="1" si="163"/>
        <v>23</v>
      </c>
      <c r="Q361" s="304">
        <f t="shared" ca="1" si="164"/>
        <v>0</v>
      </c>
      <c r="R361" s="306">
        <f t="shared" ca="1" si="165"/>
        <v>0</v>
      </c>
      <c r="S361" s="307">
        <f t="shared" ca="1" si="166"/>
        <v>4.0843000000000034</v>
      </c>
      <c r="T361" s="304">
        <f t="shared" ca="1" si="146"/>
        <v>40.066983000000036</v>
      </c>
      <c r="U361" s="311">
        <f t="shared" ca="1" si="147"/>
        <v>0</v>
      </c>
      <c r="V361" s="306">
        <f t="shared" ca="1" si="148"/>
        <v>1.0274797384551184</v>
      </c>
      <c r="W361" s="304">
        <f t="shared" ca="1" si="149"/>
        <v>3.4803976201145614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 t="e">
        <f t="shared" ca="1" si="150"/>
        <v>#N/A</v>
      </c>
      <c r="AG361" s="306">
        <f t="shared" ca="1" si="172"/>
        <v>8.2537131466186331</v>
      </c>
      <c r="AH361" s="304">
        <f t="shared" ca="1" si="173"/>
        <v>-0.82276649756651488</v>
      </c>
    </row>
    <row r="362" spans="1:34" x14ac:dyDescent="0.2">
      <c r="A362" s="347">
        <f t="shared" ca="1" si="151"/>
        <v>0.1</v>
      </c>
      <c r="B362" s="304">
        <f t="shared" ca="1" si="152"/>
        <v>24.400000000000048</v>
      </c>
      <c r="D362" s="306">
        <f t="shared" ca="1" si="153"/>
        <v>-0.3172106670203369</v>
      </c>
      <c r="E362" s="307">
        <f t="shared" ca="1" si="154"/>
        <v>-9.0191012088170961</v>
      </c>
      <c r="F362" s="304">
        <f t="shared" ca="1" si="155"/>
        <v>9.0246777904896689</v>
      </c>
      <c r="G362" s="306">
        <f t="shared" ca="1" si="156"/>
        <v>17.896421501171613</v>
      </c>
      <c r="H362" s="307">
        <f t="shared" ca="1" si="157"/>
        <v>-45.602003022161647</v>
      </c>
      <c r="I362" s="304">
        <f t="shared" ca="1" si="158"/>
        <v>48.9880044723281</v>
      </c>
      <c r="J362" s="306">
        <f t="shared" ca="1" si="159"/>
        <v>478.16960619518312</v>
      </c>
      <c r="K362" s="307">
        <f t="shared" ca="1" si="160"/>
        <v>1749.2876768470735</v>
      </c>
      <c r="L362" s="304">
        <f t="shared" ca="1" si="145"/>
        <v>1813.4645154118368</v>
      </c>
      <c r="M362" s="306">
        <f t="shared" ca="1" si="161"/>
        <v>-1.196817074133826</v>
      </c>
      <c r="N362" s="304">
        <f t="shared" ca="1" si="162"/>
        <v>-68.572567197063989</v>
      </c>
      <c r="P362" s="310">
        <f t="shared" ca="1" si="163"/>
        <v>23</v>
      </c>
      <c r="Q362" s="304">
        <f t="shared" ca="1" si="164"/>
        <v>0</v>
      </c>
      <c r="R362" s="306">
        <f t="shared" ca="1" si="165"/>
        <v>0</v>
      </c>
      <c r="S362" s="307">
        <f t="shared" ca="1" si="166"/>
        <v>4.0843000000000034</v>
      </c>
      <c r="T362" s="304">
        <f t="shared" ca="1" si="146"/>
        <v>40.066983000000036</v>
      </c>
      <c r="U362" s="311">
        <f t="shared" ca="1" si="147"/>
        <v>0</v>
      </c>
      <c r="V362" s="306">
        <f t="shared" ca="1" si="148"/>
        <v>1.0279473483475197</v>
      </c>
      <c r="W362" s="304">
        <f t="shared" ca="1" si="149"/>
        <v>3.6025372453996494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 t="e">
        <f t="shared" ca="1" si="150"/>
        <v>#N/A</v>
      </c>
      <c r="AG362" s="306">
        <f t="shared" ca="1" si="172"/>
        <v>8.2528330489867354</v>
      </c>
      <c r="AH362" s="304">
        <f t="shared" ca="1" si="173"/>
        <v>-0.85214054308316201</v>
      </c>
    </row>
    <row r="363" spans="1:34" x14ac:dyDescent="0.2">
      <c r="A363" s="347">
        <f t="shared" ca="1" si="151"/>
        <v>0.1</v>
      </c>
      <c r="B363" s="304">
        <f t="shared" ca="1" si="152"/>
        <v>24.50000000000005</v>
      </c>
      <c r="D363" s="306">
        <f t="shared" ca="1" si="153"/>
        <v>-0.32223098298966796</v>
      </c>
      <c r="E363" s="307">
        <f t="shared" ca="1" si="154"/>
        <v>-8.9889208664331601</v>
      </c>
      <c r="F363" s="304">
        <f t="shared" ca="1" si="155"/>
        <v>8.9946946112358912</v>
      </c>
      <c r="G363" s="306">
        <f t="shared" ca="1" si="156"/>
        <v>17.864198402872645</v>
      </c>
      <c r="H363" s="307">
        <f t="shared" ca="1" si="157"/>
        <v>-46.500895108804961</v>
      </c>
      <c r="I363" s="304">
        <f t="shared" ca="1" si="158"/>
        <v>49.814283398411732</v>
      </c>
      <c r="J363" s="306">
        <f t="shared" ca="1" si="159"/>
        <v>479.95763719038536</v>
      </c>
      <c r="K363" s="307">
        <f t="shared" ca="1" si="160"/>
        <v>1744.6825319405252</v>
      </c>
      <c r="L363" s="304">
        <f t="shared" ca="1" si="145"/>
        <v>1809.4961925231507</v>
      </c>
      <c r="M363" s="306">
        <f t="shared" ca="1" si="161"/>
        <v>-1.2040114863477134</v>
      </c>
      <c r="N363" s="304">
        <f t="shared" ca="1" si="162"/>
        <v>-68.984776652997112</v>
      </c>
      <c r="P363" s="310">
        <f t="shared" ca="1" si="163"/>
        <v>23</v>
      </c>
      <c r="Q363" s="304">
        <f t="shared" ca="1" si="164"/>
        <v>0</v>
      </c>
      <c r="R363" s="306">
        <f t="shared" ca="1" si="165"/>
        <v>0</v>
      </c>
      <c r="S363" s="307">
        <f t="shared" ca="1" si="166"/>
        <v>4.0843000000000034</v>
      </c>
      <c r="T363" s="304">
        <f t="shared" ca="1" si="146"/>
        <v>40.066983000000036</v>
      </c>
      <c r="U363" s="311">
        <f t="shared" ca="1" si="147"/>
        <v>0</v>
      </c>
      <c r="V363" s="306">
        <f t="shared" ca="1" si="148"/>
        <v>1.0284244833432008</v>
      </c>
      <c r="W363" s="304">
        <f t="shared" ca="1" si="149"/>
        <v>3.7268189305447192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 t="e">
        <f t="shared" ca="1" si="150"/>
        <v>#N/A</v>
      </c>
      <c r="AG363" s="306">
        <f t="shared" ca="1" si="172"/>
        <v>8.249897487721249</v>
      </c>
      <c r="AH363" s="304">
        <f t="shared" ca="1" si="173"/>
        <v>-0.88204520857910695</v>
      </c>
    </row>
    <row r="364" spans="1:34" x14ac:dyDescent="0.2">
      <c r="A364" s="347">
        <f t="shared" ca="1" si="151"/>
        <v>0.1</v>
      </c>
      <c r="B364" s="304">
        <f t="shared" ca="1" si="152"/>
        <v>24.600000000000051</v>
      </c>
      <c r="D364" s="306">
        <f t="shared" ca="1" si="153"/>
        <v>-0.32722788453161433</v>
      </c>
      <c r="E364" s="307">
        <f t="shared" ca="1" si="154"/>
        <v>-8.9582187337981054</v>
      </c>
      <c r="F364" s="304">
        <f t="shared" ca="1" si="155"/>
        <v>8.964193269390524</v>
      </c>
      <c r="G364" s="306">
        <f t="shared" ca="1" si="156"/>
        <v>17.831475614419485</v>
      </c>
      <c r="H364" s="307">
        <f t="shared" ca="1" si="157"/>
        <v>-47.39671698218477</v>
      </c>
      <c r="I364" s="304">
        <f t="shared" ca="1" si="158"/>
        <v>50.64000694388735</v>
      </c>
      <c r="J364" s="306">
        <f t="shared" ca="1" si="159"/>
        <v>481.74242089124994</v>
      </c>
      <c r="K364" s="307">
        <f t="shared" ca="1" si="160"/>
        <v>1739.9876513359757</v>
      </c>
      <c r="L364" s="304">
        <f t="shared" ca="1" si="145"/>
        <v>1805.4453153966881</v>
      </c>
      <c r="M364" s="306">
        <f t="shared" ca="1" si="161"/>
        <v>-1.2109586637723588</v>
      </c>
      <c r="N364" s="304">
        <f t="shared" ca="1" si="162"/>
        <v>-69.382820598957863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4.0843000000000034</v>
      </c>
      <c r="T364" s="304">
        <f t="shared" ca="1" si="146"/>
        <v>40.066983000000036</v>
      </c>
      <c r="U364" s="311">
        <f t="shared" ca="1" si="147"/>
        <v>0</v>
      </c>
      <c r="V364" s="306">
        <f t="shared" ca="1" si="148"/>
        <v>1.0289111238634414</v>
      </c>
      <c r="W364" s="304">
        <f t="shared" ca="1" si="149"/>
        <v>3.8532171710759271</v>
      </c>
      <c r="Y364" s="314" t="str">
        <f t="shared" ca="1" si="167"/>
        <v/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 t="e">
        <f t="shared" ca="1" si="150"/>
        <v>#N/A</v>
      </c>
      <c r="AG364" s="306">
        <f t="shared" ca="1" si="172"/>
        <v>8.245015241209865</v>
      </c>
      <c r="AH364" s="304">
        <f t="shared" ca="1" si="173"/>
        <v>-0.91247433600487626</v>
      </c>
    </row>
    <row r="365" spans="1:34" x14ac:dyDescent="0.2">
      <c r="A365" s="347">
        <f t="shared" ca="1" si="151"/>
        <v>0.1</v>
      </c>
      <c r="B365" s="304">
        <f t="shared" ca="1" si="152"/>
        <v>24.700000000000053</v>
      </c>
      <c r="D365" s="306">
        <f t="shared" ca="1" si="153"/>
        <v>-0.33219981021617723</v>
      </c>
      <c r="E365" s="307">
        <f t="shared" ca="1" si="154"/>
        <v>-8.9270007055602711</v>
      </c>
      <c r="F365" s="304">
        <f t="shared" ca="1" si="155"/>
        <v>8.9331796305112565</v>
      </c>
      <c r="G365" s="306">
        <f t="shared" ca="1" si="156"/>
        <v>17.798255633397869</v>
      </c>
      <c r="H365" s="307">
        <f t="shared" ca="1" si="157"/>
        <v>-48.289417052740795</v>
      </c>
      <c r="I365" s="304">
        <f t="shared" ca="1" si="158"/>
        <v>51.464994927477768</v>
      </c>
      <c r="J365" s="306">
        <f t="shared" ca="1" si="159"/>
        <v>483.52390745364079</v>
      </c>
      <c r="K365" s="307">
        <f t="shared" ca="1" si="160"/>
        <v>1735.2033446342293</v>
      </c>
      <c r="L365" s="304">
        <f t="shared" ca="1" si="145"/>
        <v>1801.3123039353982</v>
      </c>
      <c r="M365" s="306">
        <f t="shared" ca="1" si="161"/>
        <v>-1.2176706933471588</v>
      </c>
      <c r="N365" s="304">
        <f t="shared" ca="1" si="162"/>
        <v>-69.767391565560885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4.0843000000000034</v>
      </c>
      <c r="T365" s="304">
        <f t="shared" ca="1" si="146"/>
        <v>40.066983000000036</v>
      </c>
      <c r="U365" s="311">
        <f t="shared" ca="1" si="147"/>
        <v>0</v>
      </c>
      <c r="V365" s="306">
        <f t="shared" ca="1" si="148"/>
        <v>1.0294072499830849</v>
      </c>
      <c r="W365" s="304">
        <f t="shared" ca="1" si="149"/>
        <v>3.9817061187706431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 t="e">
        <f t="shared" ca="1" si="150"/>
        <v>#N/A</v>
      </c>
      <c r="AG365" s="306">
        <f t="shared" ca="1" si="172"/>
        <v>8.2382870442433287</v>
      </c>
      <c r="AH365" s="304">
        <f t="shared" ca="1" si="173"/>
        <v>-0.94342168084516909</v>
      </c>
    </row>
    <row r="366" spans="1:34" x14ac:dyDescent="0.2">
      <c r="A366" s="347">
        <f t="shared" ca="1" si="151"/>
        <v>0.1</v>
      </c>
      <c r="B366" s="304">
        <f t="shared" ca="1" si="152"/>
        <v>24.800000000000054</v>
      </c>
      <c r="D366" s="306">
        <f t="shared" ca="1" si="153"/>
        <v>-0.33714527226594093</v>
      </c>
      <c r="E366" s="307">
        <f t="shared" ca="1" si="154"/>
        <v>-8.8952727932921736</v>
      </c>
      <c r="F366" s="304">
        <f t="shared" ca="1" si="155"/>
        <v>8.9016596768071974</v>
      </c>
      <c r="G366" s="306">
        <f t="shared" ca="1" si="156"/>
        <v>17.764541106171276</v>
      </c>
      <c r="H366" s="307">
        <f t="shared" ca="1" si="157"/>
        <v>-49.17894433207001</v>
      </c>
      <c r="I366" s="304">
        <f t="shared" ca="1" si="158"/>
        <v>52.289076166343676</v>
      </c>
      <c r="J366" s="306">
        <f t="shared" ca="1" si="159"/>
        <v>485.30204729061927</v>
      </c>
      <c r="K366" s="307">
        <f t="shared" ca="1" si="160"/>
        <v>1730.3299265649887</v>
      </c>
      <c r="L366" s="304">
        <f t="shared" ca="1" si="145"/>
        <v>1797.0975855169538</v>
      </c>
      <c r="M366" s="306">
        <f t="shared" ca="1" si="161"/>
        <v>-1.2241589286476695</v>
      </c>
      <c r="N366" s="304">
        <f t="shared" ca="1" si="162"/>
        <v>-70.139140064767943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4.0843000000000034</v>
      </c>
      <c r="T366" s="304">
        <f t="shared" ca="1" si="146"/>
        <v>40.066983000000036</v>
      </c>
      <c r="U366" s="311">
        <f t="shared" ca="1" si="147"/>
        <v>0</v>
      </c>
      <c r="V366" s="306">
        <f t="shared" ca="1" si="148"/>
        <v>1.0299128414335887</v>
      </c>
      <c r="W366" s="304">
        <f t="shared" ca="1" si="149"/>
        <v>4.1122595911919664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 t="e">
        <f t="shared" ca="1" si="150"/>
        <v>#N/A</v>
      </c>
      <c r="AG366" s="306">
        <f t="shared" ca="1" si="172"/>
        <v>8.2298063094856513</v>
      </c>
      <c r="AH366" s="304">
        <f t="shared" ca="1" si="173"/>
        <v>-0.97488091442123248</v>
      </c>
    </row>
    <row r="367" spans="1:34" x14ac:dyDescent="0.2">
      <c r="A367" s="347">
        <f t="shared" ca="1" si="151"/>
        <v>0.1</v>
      </c>
      <c r="B367" s="304">
        <f t="shared" ca="1" si="152"/>
        <v>24.900000000000055</v>
      </c>
      <c r="D367" s="306">
        <f t="shared" ca="1" si="153"/>
        <v>-0.34206285186121826</v>
      </c>
      <c r="E367" s="307">
        <f t="shared" ca="1" si="154"/>
        <v>-8.8630411199922285</v>
      </c>
      <c r="F367" s="304">
        <f t="shared" ca="1" si="155"/>
        <v>8.8696395016537473</v>
      </c>
      <c r="G367" s="306">
        <f t="shared" ca="1" si="156"/>
        <v>17.730334820985153</v>
      </c>
      <c r="H367" s="307">
        <f t="shared" ca="1" si="157"/>
        <v>-50.065248444069233</v>
      </c>
      <c r="I367" s="304">
        <f t="shared" ca="1" si="158"/>
        <v>53.11208783912204</v>
      </c>
      <c r="J367" s="306">
        <f t="shared" ca="1" si="159"/>
        <v>487.0767910869771</v>
      </c>
      <c r="K367" s="307">
        <f t="shared" ca="1" si="160"/>
        <v>1725.3677169261816</v>
      </c>
      <c r="L367" s="304">
        <f t="shared" ca="1" si="145"/>
        <v>1792.8015949977987</v>
      </c>
      <c r="M367" s="306">
        <f t="shared" ca="1" si="161"/>
        <v>-1.2304340410300709</v>
      </c>
      <c r="N367" s="304">
        <f t="shared" ca="1" si="162"/>
        <v>-70.498677520249828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4.0843000000000034</v>
      </c>
      <c r="T367" s="304">
        <f t="shared" ca="1" si="146"/>
        <v>40.066983000000036</v>
      </c>
      <c r="U367" s="311">
        <f t="shared" ca="1" si="147"/>
        <v>0</v>
      </c>
      <c r="V367" s="306">
        <f t="shared" ca="1" si="148"/>
        <v>1.0304278776061506</v>
      </c>
      <c r="W367" s="304">
        <f t="shared" ca="1" si="149"/>
        <v>4.2448510813443727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 t="e">
        <f t="shared" ca="1" si="150"/>
        <v>#N/A</v>
      </c>
      <c r="AG367" s="306">
        <f t="shared" ca="1" si="172"/>
        <v>8.2196597792792154</v>
      </c>
      <c r="AH367" s="304">
        <f t="shared" ca="1" si="173"/>
        <v>-1.0068456262252927</v>
      </c>
    </row>
    <row r="368" spans="1:34" x14ac:dyDescent="0.2">
      <c r="A368" s="347">
        <f t="shared" ca="1" si="151"/>
        <v>0.1</v>
      </c>
      <c r="B368" s="304">
        <f t="shared" ca="1" si="152"/>
        <v>25.000000000000057</v>
      </c>
      <c r="D368" s="306">
        <f t="shared" ca="1" si="153"/>
        <v>-0.34695119486577208</v>
      </c>
      <c r="E368" s="307">
        <f t="shared" ca="1" si="154"/>
        <v>-8.8303119149017633</v>
      </c>
      <c r="F368" s="304">
        <f t="shared" ca="1" si="155"/>
        <v>8.8371253044230862</v>
      </c>
      <c r="G368" s="306">
        <f t="shared" ca="1" si="156"/>
        <v>17.695639701498575</v>
      </c>
      <c r="H368" s="307">
        <f t="shared" ca="1" si="157"/>
        <v>-50.948279635559409</v>
      </c>
      <c r="I368" s="304">
        <f t="shared" ca="1" si="158"/>
        <v>53.93387490500205</v>
      </c>
      <c r="J368" s="306">
        <f t="shared" ca="1" si="159"/>
        <v>488.8480898131013</v>
      </c>
      <c r="K368" s="307">
        <f t="shared" ca="1" si="160"/>
        <v>1720.3170405222002</v>
      </c>
      <c r="L368" s="304">
        <f t="shared" ca="1" si="145"/>
        <v>1788.4247747179581</v>
      </c>
      <c r="M368" s="306">
        <f t="shared" ca="1" si="161"/>
        <v>-1.2365060669336783</v>
      </c>
      <c r="N368" s="304">
        <f t="shared" ca="1" si="162"/>
        <v>-70.846578977620638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4.0843000000000034</v>
      </c>
      <c r="T368" s="304">
        <f t="shared" ca="1" si="146"/>
        <v>40.066983000000036</v>
      </c>
      <c r="U368" s="311">
        <f t="shared" ca="1" si="147"/>
        <v>0</v>
      </c>
      <c r="V368" s="306">
        <f t="shared" ca="1" si="148"/>
        <v>1.0309523375549192</v>
      </c>
      <c r="W368" s="304">
        <f t="shared" ca="1" si="149"/>
        <v>4.37945376744121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>
        <f t="shared" ca="1" si="170"/>
        <v>25.000000000000057</v>
      </c>
      <c r="AD368" s="323">
        <f t="shared" ca="1" si="171"/>
        <v>488.8480898131013</v>
      </c>
      <c r="AE368" s="324" t="e">
        <f t="shared" ca="1" si="150"/>
        <v>#N/A</v>
      </c>
      <c r="AG368" s="306">
        <f t="shared" ca="1" si="172"/>
        <v>8.2079281147287073</v>
      </c>
      <c r="AH368" s="304">
        <f t="shared" ca="1" si="173"/>
        <v>-1.0393093262846433</v>
      </c>
    </row>
    <row r="369" spans="1:34" x14ac:dyDescent="0.2">
      <c r="A369" s="347">
        <f t="shared" ca="1" si="151"/>
        <v>0.1</v>
      </c>
      <c r="B369" s="304">
        <f t="shared" ca="1" si="152"/>
        <v>25.100000000000058</v>
      </c>
      <c r="D369" s="306">
        <f t="shared" ca="1" si="153"/>
        <v>-0.35180900793216252</v>
      </c>
      <c r="E369" s="307">
        <f t="shared" ca="1" si="154"/>
        <v>-8.797091508598097</v>
      </c>
      <c r="F369" s="304">
        <f t="shared" ca="1" si="155"/>
        <v>8.8041233855910352</v>
      </c>
      <c r="G369" s="306">
        <f t="shared" ca="1" si="156"/>
        <v>17.66045880070536</v>
      </c>
      <c r="H369" s="307">
        <f t="shared" ca="1" si="157"/>
        <v>-51.827988786419219</v>
      </c>
      <c r="I369" s="304">
        <f t="shared" ca="1" si="158"/>
        <v>54.754289573480975</v>
      </c>
      <c r="J369" s="306">
        <f t="shared" ca="1" si="159"/>
        <v>490.61589473821147</v>
      </c>
      <c r="K369" s="307">
        <f t="shared" ca="1" si="160"/>
        <v>1715.1782271011011</v>
      </c>
      <c r="L369" s="304">
        <f t="shared" ca="1" si="145"/>
        <v>1783.9675745067375</v>
      </c>
      <c r="M369" s="306">
        <f t="shared" ca="1" si="161"/>
        <v>-1.2423844516265932</v>
      </c>
      <c r="N369" s="304">
        <f t="shared" ca="1" si="162"/>
        <v>-71.183385610878972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4.0843000000000034</v>
      </c>
      <c r="T369" s="304">
        <f t="shared" ca="1" si="146"/>
        <v>40.066983000000036</v>
      </c>
      <c r="U369" s="311">
        <f t="shared" ca="1" si="147"/>
        <v>0</v>
      </c>
      <c r="V369" s="306">
        <f t="shared" ca="1" si="148"/>
        <v>1.0314862000002718</v>
      </c>
      <c r="W369" s="304">
        <f t="shared" ca="1" si="149"/>
        <v>4.5160405227749738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 t="e">
        <f t="shared" ca="1" si="150"/>
        <v>#N/A</v>
      </c>
      <c r="AG369" s="306">
        <f t="shared" ca="1" si="172"/>
        <v>8.1946864283352561</v>
      </c>
      <c r="AH369" s="304">
        <f t="shared" ca="1" si="173"/>
        <v>-1.0722654475531197</v>
      </c>
    </row>
    <row r="370" spans="1:34" x14ac:dyDescent="0.2">
      <c r="A370" s="347">
        <f t="shared" ca="1" si="151"/>
        <v>0.1</v>
      </c>
      <c r="B370" s="304">
        <f t="shared" ca="1" si="152"/>
        <v>25.20000000000006</v>
      </c>
      <c r="D370" s="306">
        <f t="shared" ca="1" si="153"/>
        <v>-0.35663505494986375</v>
      </c>
      <c r="E370" s="307">
        <f t="shared" ca="1" si="154"/>
        <v>-8.7633863283298563</v>
      </c>
      <c r="F370" s="304">
        <f t="shared" ca="1" si="155"/>
        <v>8.7706401420864228</v>
      </c>
      <c r="G370" s="306">
        <f t="shared" ca="1" si="156"/>
        <v>17.624795295210372</v>
      </c>
      <c r="H370" s="307">
        <f t="shared" ca="1" si="157"/>
        <v>-52.704327419252202</v>
      </c>
      <c r="I370" s="304">
        <f t="shared" ca="1" si="158"/>
        <v>55.573190819979096</v>
      </c>
      <c r="J370" s="306">
        <f t="shared" ca="1" si="159"/>
        <v>492.38015744300725</v>
      </c>
      <c r="K370" s="307">
        <f t="shared" ca="1" si="160"/>
        <v>1709.9516112908175</v>
      </c>
      <c r="L370" s="304">
        <f t="shared" ca="1" si="145"/>
        <v>1779.430451689434</v>
      </c>
      <c r="M370" s="306">
        <f t="shared" ca="1" si="161"/>
        <v>-1.2480780896628438</v>
      </c>
      <c r="N370" s="304">
        <f t="shared" ca="1" si="162"/>
        <v>-71.509607040431291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4.0843000000000034</v>
      </c>
      <c r="T370" s="304">
        <f t="shared" ca="1" si="146"/>
        <v>40.066983000000036</v>
      </c>
      <c r="U370" s="311">
        <f t="shared" ca="1" si="147"/>
        <v>0</v>
      </c>
      <c r="V370" s="306">
        <f t="shared" ca="1" si="148"/>
        <v>1.0320294433321673</v>
      </c>
      <c r="W370" s="304">
        <f t="shared" ca="1" si="149"/>
        <v>4.6545839256817407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 t="e">
        <f t="shared" ca="1" si="150"/>
        <v>#N/A</v>
      </c>
      <c r="AG370" s="306">
        <f t="shared" ca="1" si="172"/>
        <v>8.1800047658336474</v>
      </c>
      <c r="AH370" s="304">
        <f t="shared" ca="1" si="173"/>
        <v>-1.1057073483277355</v>
      </c>
    </row>
    <row r="371" spans="1:34" x14ac:dyDescent="0.2">
      <c r="A371" s="347">
        <f t="shared" ca="1" si="151"/>
        <v>0.1</v>
      </c>
      <c r="B371" s="304">
        <f t="shared" ca="1" si="152"/>
        <v>25.300000000000061</v>
      </c>
      <c r="D371" s="306">
        <f t="shared" ca="1" si="153"/>
        <v>-0.3614281538030244</v>
      </c>
      <c r="E371" s="307">
        <f t="shared" ca="1" si="154"/>
        <v>-8.7292028935651214</v>
      </c>
      <c r="F371" s="304">
        <f t="shared" ca="1" si="155"/>
        <v>8.7366820628535606</v>
      </c>
      <c r="G371" s="306">
        <f t="shared" ca="1" si="156"/>
        <v>17.588652479830071</v>
      </c>
      <c r="H371" s="307">
        <f t="shared" ca="1" si="157"/>
        <v>-53.577247708608716</v>
      </c>
      <c r="I371" s="304">
        <f t="shared" ca="1" si="158"/>
        <v>56.390443942975395</v>
      </c>
      <c r="J371" s="306">
        <f t="shared" ca="1" si="159"/>
        <v>494.14082983175928</v>
      </c>
      <c r="K371" s="307">
        <f t="shared" ca="1" si="160"/>
        <v>1704.6375325344245</v>
      </c>
      <c r="L371" s="304">
        <f t="shared" ca="1" si="145"/>
        <v>1774.8138710951837</v>
      </c>
      <c r="M371" s="306">
        <f t="shared" ca="1" si="161"/>
        <v>-1.2535953623023455</v>
      </c>
      <c r="N371" s="304">
        <f t="shared" ca="1" si="162"/>
        <v>-71.825723477097739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4.0843000000000034</v>
      </c>
      <c r="T371" s="304">
        <f t="shared" ca="1" si="146"/>
        <v>40.066983000000036</v>
      </c>
      <c r="U371" s="311">
        <f t="shared" ca="1" si="147"/>
        <v>0</v>
      </c>
      <c r="V371" s="306">
        <f t="shared" ca="1" si="148"/>
        <v>1.0325820456135639</v>
      </c>
      <c r="W371" s="304">
        <f t="shared" ca="1" si="149"/>
        <v>4.7950562695913064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 t="e">
        <f t="shared" ca="1" si="150"/>
        <v>#N/A</v>
      </c>
      <c r="AG371" s="306">
        <f t="shared" ca="1" si="172"/>
        <v>8.1639485423199325</v>
      </c>
      <c r="AH371" s="304">
        <f t="shared" ca="1" si="173"/>
        <v>-1.1396283146883768</v>
      </c>
    </row>
    <row r="372" spans="1:34" x14ac:dyDescent="0.2">
      <c r="A372" s="347">
        <f t="shared" ca="1" si="151"/>
        <v>0.1</v>
      </c>
      <c r="B372" s="304">
        <f t="shared" ca="1" si="152"/>
        <v>25.400000000000063</v>
      </c>
      <c r="D372" s="306">
        <f t="shared" ca="1" si="153"/>
        <v>-0.36618717340805562</v>
      </c>
      <c r="E372" s="307">
        <f t="shared" ca="1" si="154"/>
        <v>-8.6945478117270643</v>
      </c>
      <c r="F372" s="304">
        <f t="shared" ca="1" si="155"/>
        <v>8.7022557246024714</v>
      </c>
      <c r="G372" s="306">
        <f t="shared" ca="1" si="156"/>
        <v>17.552033762489266</v>
      </c>
      <c r="H372" s="307">
        <f t="shared" ca="1" si="157"/>
        <v>-54.446702489781423</v>
      </c>
      <c r="I372" s="304">
        <f t="shared" ca="1" si="158"/>
        <v>57.205920158759213</v>
      </c>
      <c r="J372" s="306">
        <f t="shared" ca="1" si="159"/>
        <v>495.89786414387527</v>
      </c>
      <c r="K372" s="307">
        <f t="shared" ca="1" si="160"/>
        <v>1699.236335024505</v>
      </c>
      <c r="L372" s="304">
        <f t="shared" ca="1" si="145"/>
        <v>1770.1183050660679</v>
      </c>
      <c r="M372" s="306">
        <f t="shared" ca="1" si="161"/>
        <v>-1.2589441721281023</v>
      </c>
      <c r="N372" s="304">
        <f t="shared" ca="1" si="162"/>
        <v>-72.132187705531706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4.0843000000000034</v>
      </c>
      <c r="T372" s="304">
        <f t="shared" ca="1" si="146"/>
        <v>40.066983000000036</v>
      </c>
      <c r="U372" s="311">
        <f t="shared" ca="1" si="147"/>
        <v>0</v>
      </c>
      <c r="V372" s="306">
        <f t="shared" ca="1" si="148"/>
        <v>1.0331439845839008</v>
      </c>
      <c r="W372" s="304">
        <f t="shared" ca="1" si="149"/>
        <v>4.9374295731548798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 t="e">
        <f t="shared" ca="1" si="150"/>
        <v>#N/A</v>
      </c>
      <c r="AG372" s="306">
        <f t="shared" ca="1" si="172"/>
        <v>8.1465789372424986</v>
      </c>
      <c r="AH372" s="304">
        <f t="shared" ca="1" si="173"/>
        <v>-1.1740215629584758</v>
      </c>
    </row>
    <row r="373" spans="1:34" x14ac:dyDescent="0.2">
      <c r="A373" s="347">
        <f t="shared" ca="1" si="151"/>
        <v>0.1</v>
      </c>
      <c r="B373" s="304">
        <f t="shared" ca="1" si="152"/>
        <v>25.500000000000064</v>
      </c>
      <c r="D373" s="306">
        <f t="shared" ca="1" si="153"/>
        <v>-0.37091103100424055</v>
      </c>
      <c r="E373" s="307">
        <f t="shared" ca="1" si="154"/>
        <v>-8.6594277740950574</v>
      </c>
      <c r="F373" s="304">
        <f t="shared" ca="1" si="155"/>
        <v>8.6673677877248014</v>
      </c>
      <c r="G373" s="306">
        <f t="shared" ca="1" si="156"/>
        <v>17.514942659388844</v>
      </c>
      <c r="H373" s="307">
        <f t="shared" ca="1" si="157"/>
        <v>-55.312645267190931</v>
      </c>
      <c r="I373" s="304">
        <f t="shared" ca="1" si="158"/>
        <v>58.019496230282613</v>
      </c>
      <c r="J373" s="306">
        <f t="shared" ca="1" si="159"/>
        <v>497.65121296496915</v>
      </c>
      <c r="K373" s="307">
        <f t="shared" ca="1" si="160"/>
        <v>1693.7483676366564</v>
      </c>
      <c r="L373" s="304">
        <f t="shared" ca="1" si="145"/>
        <v>1765.3442334676099</v>
      </c>
      <c r="M373" s="306">
        <f t="shared" ca="1" si="161"/>
        <v>-1.2641319750785909</v>
      </c>
      <c r="N373" s="304">
        <f t="shared" ca="1" si="162"/>
        <v>-72.429426919540219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4.0843000000000034</v>
      </c>
      <c r="T373" s="304">
        <f t="shared" ca="1" si="146"/>
        <v>40.066983000000036</v>
      </c>
      <c r="U373" s="311">
        <f t="shared" ca="1" si="147"/>
        <v>0</v>
      </c>
      <c r="V373" s="306">
        <f t="shared" ca="1" si="148"/>
        <v>1.0337152376626428</v>
      </c>
      <c r="W373" s="304">
        <f t="shared" ca="1" si="149"/>
        <v>5.081675590442428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 t="e">
        <f t="shared" ca="1" si="150"/>
        <v>#N/A</v>
      </c>
      <c r="AG373" s="306">
        <f t="shared" ca="1" si="172"/>
        <v>8.1279532523635716</v>
      </c>
      <c r="AH373" s="304">
        <f t="shared" ca="1" si="173"/>
        <v>-1.2088802421846769</v>
      </c>
    </row>
    <row r="374" spans="1:34" x14ac:dyDescent="0.2">
      <c r="A374" s="347">
        <f t="shared" ca="1" si="151"/>
        <v>0.1</v>
      </c>
      <c r="B374" s="304">
        <f t="shared" ca="1" si="152"/>
        <v>25.600000000000065</v>
      </c>
      <c r="D374" s="306">
        <f t="shared" ca="1" si="153"/>
        <v>-0.37559868967323368</v>
      </c>
      <c r="E374" s="307">
        <f t="shared" ca="1" si="154"/>
        <v>-8.6238495518521887</v>
      </c>
      <c r="F374" s="304">
        <f t="shared" ca="1" si="155"/>
        <v>8.6320249923563956</v>
      </c>
      <c r="G374" s="306">
        <f t="shared" ca="1" si="156"/>
        <v>17.477382790421519</v>
      </c>
      <c r="H374" s="307">
        <f t="shared" ca="1" si="157"/>
        <v>-56.175030222376151</v>
      </c>
      <c r="I374" s="304">
        <f t="shared" ca="1" si="158"/>
        <v>58.831054126947244</v>
      </c>
      <c r="J374" s="306">
        <f t="shared" ca="1" si="159"/>
        <v>499.40082923745967</v>
      </c>
      <c r="K374" s="307">
        <f t="shared" ca="1" si="160"/>
        <v>1688.1739838621781</v>
      </c>
      <c r="L374" s="304">
        <f t="shared" ca="1" si="145"/>
        <v>1760.4921437007777</v>
      </c>
      <c r="M374" s="306">
        <f t="shared" ca="1" si="161"/>
        <v>-1.2691658100973864</v>
      </c>
      <c r="N374" s="304">
        <f t="shared" ca="1" si="162"/>
        <v>-72.717844420882358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4.0843000000000034</v>
      </c>
      <c r="T374" s="304">
        <f t="shared" ca="1" si="146"/>
        <v>40.066983000000036</v>
      </c>
      <c r="U374" s="311">
        <f t="shared" ca="1" si="147"/>
        <v>0</v>
      </c>
      <c r="V374" s="306">
        <f t="shared" ca="1" si="148"/>
        <v>1.0342957819528795</v>
      </c>
      <c r="W374" s="304">
        <f t="shared" ca="1" si="149"/>
        <v>5.2277658212018769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 t="e">
        <f t="shared" ca="1" si="150"/>
        <v>#N/A</v>
      </c>
      <c r="AG374" s="306">
        <f t="shared" ca="1" si="172"/>
        <v>8.1081252363773562</v>
      </c>
      <c r="AH374" s="304">
        <f t="shared" ca="1" si="173"/>
        <v>-1.2441974366335538</v>
      </c>
    </row>
    <row r="375" spans="1:34" x14ac:dyDescent="0.2">
      <c r="A375" s="347">
        <f t="shared" ca="1" si="151"/>
        <v>0.1</v>
      </c>
      <c r="B375" s="304">
        <f t="shared" ca="1" si="152"/>
        <v>25.700000000000067</v>
      </c>
      <c r="D375" s="306">
        <f t="shared" ca="1" si="153"/>
        <v>-0.38024915606572862</v>
      </c>
      <c r="E375" s="307">
        <f t="shared" ca="1" si="154"/>
        <v>-8.5878199922626894</v>
      </c>
      <c r="F375" s="304">
        <f t="shared" ca="1" si="155"/>
        <v>8.596234154569979</v>
      </c>
      <c r="G375" s="306">
        <f t="shared" ca="1" si="156"/>
        <v>17.439357874814945</v>
      </c>
      <c r="H375" s="307">
        <f t="shared" ca="1" si="157"/>
        <v>-57.033812221602417</v>
      </c>
      <c r="I375" s="304">
        <f t="shared" ca="1" si="158"/>
        <v>59.640480712473092</v>
      </c>
      <c r="J375" s="306">
        <f t="shared" ca="1" si="159"/>
        <v>501.14666627072148</v>
      </c>
      <c r="K375" s="307">
        <f t="shared" ca="1" si="160"/>
        <v>1682.5135417399792</v>
      </c>
      <c r="L375" s="304">
        <f t="shared" ca="1" si="145"/>
        <v>1755.5625307156299</v>
      </c>
      <c r="M375" s="306">
        <f t="shared" ca="1" si="161"/>
        <v>-1.2740523265869654</v>
      </c>
      <c r="N375" s="304">
        <f t="shared" ca="1" si="162"/>
        <v>-72.997821192256325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4.0843000000000034</v>
      </c>
      <c r="T375" s="304">
        <f t="shared" ca="1" si="146"/>
        <v>40.066983000000036</v>
      </c>
      <c r="U375" s="311">
        <f t="shared" ca="1" si="147"/>
        <v>0</v>
      </c>
      <c r="V375" s="306">
        <f t="shared" ca="1" si="148"/>
        <v>1.0348855942449855</v>
      </c>
      <c r="W375" s="304">
        <f t="shared" ca="1" si="149"/>
        <v>5.3756715211727073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 t="e">
        <f t="shared" ca="1" si="150"/>
        <v>#N/A</v>
      </c>
      <c r="AG375" s="306">
        <f t="shared" ca="1" si="172"/>
        <v>8.0871453794920338</v>
      </c>
      <c r="AH375" s="304">
        <f t="shared" ca="1" si="173"/>
        <v>-1.2799661683034724</v>
      </c>
    </row>
    <row r="376" spans="1:34" x14ac:dyDescent="0.2">
      <c r="A376" s="347">
        <f t="shared" ca="1" si="151"/>
        <v>0.1</v>
      </c>
      <c r="B376" s="304">
        <f t="shared" ca="1" si="152"/>
        <v>25.800000000000068</v>
      </c>
      <c r="D376" s="306">
        <f t="shared" ca="1" si="153"/>
        <v>-0.38486147831573675</v>
      </c>
      <c r="E376" s="307">
        <f t="shared" ca="1" si="154"/>
        <v>-8.5513460149649596</v>
      </c>
      <c r="F376" s="304">
        <f t="shared" ca="1" si="155"/>
        <v>8.5600021626836327</v>
      </c>
      <c r="G376" s="306">
        <f t="shared" ca="1" si="156"/>
        <v>17.400871726983372</v>
      </c>
      <c r="H376" s="307">
        <f t="shared" ca="1" si="157"/>
        <v>-57.888946823098912</v>
      </c>
      <c r="I376" s="304">
        <f t="shared" ca="1" si="158"/>
        <v>60.447667458277515</v>
      </c>
      <c r="J376" s="306">
        <f t="shared" ca="1" si="159"/>
        <v>502.88867775081138</v>
      </c>
      <c r="K376" s="307">
        <f t="shared" ca="1" si="160"/>
        <v>1676.7674037877441</v>
      </c>
      <c r="L376" s="304">
        <f t="shared" ca="1" si="145"/>
        <v>1750.5558970267277</v>
      </c>
      <c r="M376" s="306">
        <f t="shared" ca="1" si="161"/>
        <v>-1.2787978098393114</v>
      </c>
      <c r="N376" s="304">
        <f t="shared" ca="1" si="162"/>
        <v>-73.269717354365753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4.0843000000000034</v>
      </c>
      <c r="T376" s="304">
        <f t="shared" ca="1" si="146"/>
        <v>40.066983000000036</v>
      </c>
      <c r="U376" s="311">
        <f t="shared" ca="1" si="147"/>
        <v>0</v>
      </c>
      <c r="V376" s="306">
        <f t="shared" ca="1" si="148"/>
        <v>1.0354846510203299</v>
      </c>
      <c r="W376" s="304">
        <f t="shared" ca="1" si="149"/>
        <v>5.5253637124465254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 t="e">
        <f t="shared" ca="1" si="150"/>
        <v>#N/A</v>
      </c>
      <c r="AG376" s="306">
        <f t="shared" ca="1" si="172"/>
        <v>8.0650611809419068</v>
      </c>
      <c r="AH376" s="304">
        <f t="shared" ca="1" si="173"/>
        <v>-1.3161793994497717</v>
      </c>
    </row>
    <row r="377" spans="1:34" x14ac:dyDescent="0.2">
      <c r="A377" s="347">
        <f t="shared" ca="1" si="151"/>
        <v>0.1</v>
      </c>
      <c r="B377" s="304">
        <f t="shared" ca="1" si="152"/>
        <v>25.90000000000007</v>
      </c>
      <c r="D377" s="306">
        <f t="shared" ca="1" si="153"/>
        <v>-0.38943474412485596</v>
      </c>
      <c r="E377" s="307">
        <f t="shared" ca="1" si="154"/>
        <v>-8.5144346083677984</v>
      </c>
      <c r="F377" s="304">
        <f t="shared" ca="1" si="155"/>
        <v>8.523335973672685</v>
      </c>
      <c r="G377" s="306">
        <f t="shared" ca="1" si="156"/>
        <v>17.361928252570888</v>
      </c>
      <c r="H377" s="307">
        <f t="shared" ca="1" si="157"/>
        <v>-58.740390283935689</v>
      </c>
      <c r="I377" s="304">
        <f t="shared" ca="1" si="158"/>
        <v>61.252510180044915</v>
      </c>
      <c r="J377" s="306">
        <f t="shared" ca="1" si="159"/>
        <v>504.6268177497891</v>
      </c>
      <c r="K377" s="307">
        <f t="shared" ca="1" si="160"/>
        <v>1670.9359369323925</v>
      </c>
      <c r="L377" s="304">
        <f t="shared" ca="1" si="145"/>
        <v>1745.472752730449</v>
      </c>
      <c r="M377" s="306">
        <f t="shared" ca="1" si="161"/>
        <v>-1.2834082046025164</v>
      </c>
      <c r="N377" s="304">
        <f t="shared" ca="1" si="162"/>
        <v>-73.533873516186617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4.0843000000000034</v>
      </c>
      <c r="T377" s="304">
        <f t="shared" ca="1" si="146"/>
        <v>40.066983000000036</v>
      </c>
      <c r="U377" s="311">
        <f t="shared" ca="1" si="147"/>
        <v>0</v>
      </c>
      <c r="V377" s="306">
        <f t="shared" ca="1" si="148"/>
        <v>1.0360929284550386</v>
      </c>
      <c r="W377" s="304">
        <f t="shared" ca="1" si="149"/>
        <v>5.676813193867396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 t="e">
        <f t="shared" ca="1" si="150"/>
        <v>#N/A</v>
      </c>
      <c r="AG377" s="306">
        <f t="shared" ca="1" si="172"/>
        <v>8.0419173920902409</v>
      </c>
      <c r="AH377" s="304">
        <f t="shared" ca="1" si="173"/>
        <v>-1.3528300351214457</v>
      </c>
    </row>
    <row r="378" spans="1:34" x14ac:dyDescent="0.2">
      <c r="A378" s="347">
        <f t="shared" ca="1" si="151"/>
        <v>0.1</v>
      </c>
      <c r="B378" s="304">
        <f t="shared" ca="1" si="152"/>
        <v>26.000000000000071</v>
      </c>
      <c r="D378" s="306">
        <f t="shared" ca="1" si="153"/>
        <v>-0.39396807900063391</v>
      </c>
      <c r="E378" s="307">
        <f t="shared" ca="1" si="154"/>
        <v>-8.4770928261391205</v>
      </c>
      <c r="F378" s="304">
        <f t="shared" ca="1" si="155"/>
        <v>8.4862426096742478</v>
      </c>
      <c r="G378" s="306">
        <f t="shared" ca="1" si="156"/>
        <v>17.322531444670823</v>
      </c>
      <c r="H378" s="307">
        <f t="shared" ca="1" si="157"/>
        <v>-59.588099566549602</v>
      </c>
      <c r="I378" s="304">
        <f t="shared" ca="1" si="158"/>
        <v>62.054908795393764</v>
      </c>
      <c r="J378" s="306">
        <f t="shared" ca="1" si="159"/>
        <v>506.36104073465117</v>
      </c>
      <c r="K378" s="307">
        <f t="shared" ca="1" si="160"/>
        <v>1665.0195124398681</v>
      </c>
      <c r="L378" s="304">
        <f t="shared" ca="1" si="145"/>
        <v>1740.3136155243328</v>
      </c>
      <c r="M378" s="306">
        <f t="shared" ca="1" si="161"/>
        <v>-1.2878891369300014</v>
      </c>
      <c r="N378" s="304">
        <f t="shared" ca="1" si="162"/>
        <v>-73.790612026835248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4.0843000000000034</v>
      </c>
      <c r="T378" s="304">
        <f t="shared" ca="1" si="146"/>
        <v>40.066983000000036</v>
      </c>
      <c r="U378" s="311">
        <f t="shared" ca="1" si="147"/>
        <v>0</v>
      </c>
      <c r="V378" s="306">
        <f t="shared" ca="1" si="148"/>
        <v>1.036710402423807</v>
      </c>
      <c r="W378" s="304">
        <f t="shared" ca="1" si="149"/>
        <v>5.8299905514649462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>
        <f t="shared" ca="1" si="170"/>
        <v>26.000000000000071</v>
      </c>
      <c r="AD378" s="323">
        <f t="shared" ca="1" si="171"/>
        <v>506.36104073465117</v>
      </c>
      <c r="AE378" s="324" t="e">
        <f t="shared" ca="1" si="150"/>
        <v>#N/A</v>
      </c>
      <c r="AG378" s="306">
        <f t="shared" ca="1" si="172"/>
        <v>8.0177562375092055</v>
      </c>
      <c r="AH378" s="304">
        <f t="shared" ca="1" si="173"/>
        <v>-1.389910925707561</v>
      </c>
    </row>
    <row r="379" spans="1:34" x14ac:dyDescent="0.2">
      <c r="A379" s="347">
        <f t="shared" ca="1" si="151"/>
        <v>0.1</v>
      </c>
      <c r="B379" s="304">
        <f t="shared" ca="1" si="152"/>
        <v>26.100000000000072</v>
      </c>
      <c r="D379" s="306">
        <f t="shared" ca="1" si="153"/>
        <v>-0.39846064463470832</v>
      </c>
      <c r="E379" s="307">
        <f t="shared" ca="1" si="154"/>
        <v>-8.439327783777868</v>
      </c>
      <c r="F379" s="304">
        <f t="shared" ca="1" si="155"/>
        <v>8.448729154575128</v>
      </c>
      <c r="G379" s="306">
        <f t="shared" ca="1" si="156"/>
        <v>17.282685380207351</v>
      </c>
      <c r="H379" s="307">
        <f t="shared" ca="1" si="157"/>
        <v>-60.432032344927386</v>
      </c>
      <c r="I379" s="304">
        <f t="shared" ca="1" si="158"/>
        <v>62.854767100750465</v>
      </c>
      <c r="J379" s="306">
        <f t="shared" ca="1" si="159"/>
        <v>508.0913015758951</v>
      </c>
      <c r="K379" s="307">
        <f t="shared" ca="1" si="160"/>
        <v>1659.0185058442942</v>
      </c>
      <c r="L379" s="304">
        <f t="shared" ca="1" si="145"/>
        <v>1735.0790107285954</v>
      </c>
      <c r="M379" s="306">
        <f t="shared" ca="1" si="161"/>
        <v>-1.2922459344472865</v>
      </c>
      <c r="N379" s="304">
        <f t="shared" ca="1" si="162"/>
        <v>-74.040238136768764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4.0843000000000034</v>
      </c>
      <c r="T379" s="304">
        <f t="shared" ca="1" si="146"/>
        <v>40.066983000000036</v>
      </c>
      <c r="U379" s="311">
        <f t="shared" ca="1" si="147"/>
        <v>0</v>
      </c>
      <c r="V379" s="306">
        <f t="shared" ca="1" si="148"/>
        <v>1.0373370485037554</v>
      </c>
      <c r="W379" s="304">
        <f t="shared" ca="1" si="149"/>
        <v>5.9848661689132401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 t="e">
        <f t="shared" ca="1" si="150"/>
        <v>#N/A</v>
      </c>
      <c r="AG379" s="306">
        <f t="shared" ca="1" si="172"/>
        <v>7.99261761617755</v>
      </c>
      <c r="AH379" s="304">
        <f t="shared" ca="1" si="173"/>
        <v>-1.4274148694916977</v>
      </c>
    </row>
    <row r="380" spans="1:34" x14ac:dyDescent="0.2">
      <c r="A380" s="347">
        <f t="shared" ca="1" si="151"/>
        <v>0.1</v>
      </c>
      <c r="B380" s="304">
        <f t="shared" ca="1" si="152"/>
        <v>26.200000000000074</v>
      </c>
      <c r="D380" s="306">
        <f t="shared" ca="1" si="153"/>
        <v>-0.40291163740778435</v>
      </c>
      <c r="E380" s="307">
        <f t="shared" ca="1" si="154"/>
        <v>-8.4011466552611189</v>
      </c>
      <c r="F380" s="304">
        <f t="shared" ca="1" si="155"/>
        <v>8.410802750675094</v>
      </c>
      <c r="G380" s="306">
        <f t="shared" ca="1" si="156"/>
        <v>17.242394216466572</v>
      </c>
      <c r="H380" s="307">
        <f t="shared" ca="1" si="157"/>
        <v>-61.272147010453494</v>
      </c>
      <c r="I380" s="304">
        <f t="shared" ca="1" si="158"/>
        <v>63.6519925657215</v>
      </c>
      <c r="J380" s="306">
        <f t="shared" ca="1" si="159"/>
        <v>509.8175555557288</v>
      </c>
      <c r="K380" s="307">
        <f t="shared" ca="1" si="160"/>
        <v>1652.9332968765252</v>
      </c>
      <c r="L380" s="304">
        <f t="shared" ca="1" si="145"/>
        <v>1729.769471309954</v>
      </c>
      <c r="M380" s="306">
        <f t="shared" ca="1" si="161"/>
        <v>-1.2964836451603958</v>
      </c>
      <c r="N380" s="304">
        <f t="shared" ca="1" si="162"/>
        <v>-74.283041075427306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4.0843000000000034</v>
      </c>
      <c r="T380" s="304">
        <f t="shared" ca="1" si="146"/>
        <v>40.066983000000036</v>
      </c>
      <c r="U380" s="311">
        <f t="shared" ca="1" si="147"/>
        <v>0</v>
      </c>
      <c r="V380" s="306">
        <f t="shared" ca="1" si="148"/>
        <v>1.0379728419783354</v>
      </c>
      <c r="W380" s="304">
        <f t="shared" ca="1" si="149"/>
        <v>6.1414102380087252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 t="e">
        <f t="shared" ca="1" si="150"/>
        <v>#N/A</v>
      </c>
      <c r="AG380" s="306">
        <f t="shared" ca="1" si="172"/>
        <v>7.9665392847171486</v>
      </c>
      <c r="AH380" s="304">
        <f t="shared" ca="1" si="173"/>
        <v>-1.4653346152127011</v>
      </c>
    </row>
    <row r="381" spans="1:34" x14ac:dyDescent="0.2">
      <c r="A381" s="347">
        <f t="shared" ca="1" si="151"/>
        <v>0.1</v>
      </c>
      <c r="B381" s="304">
        <f t="shared" ca="1" si="152"/>
        <v>26.300000000000075</v>
      </c>
      <c r="D381" s="306">
        <f t="shared" ca="1" si="153"/>
        <v>-0.40732028700977263</v>
      </c>
      <c r="E381" s="307">
        <f t="shared" ca="1" si="154"/>
        <v>-8.3625566697594422</v>
      </c>
      <c r="F381" s="304">
        <f t="shared" ca="1" si="155"/>
        <v>8.3724705954185268</v>
      </c>
      <c r="G381" s="306">
        <f t="shared" ca="1" si="156"/>
        <v>17.201662187765596</v>
      </c>
      <c r="H381" s="307">
        <f t="shared" ca="1" si="157"/>
        <v>-62.108402677429439</v>
      </c>
      <c r="I381" s="304">
        <f t="shared" ca="1" si="158"/>
        <v>64.446496143419068</v>
      </c>
      <c r="J381" s="306">
        <f t="shared" ca="1" si="159"/>
        <v>511.53975837594044</v>
      </c>
      <c r="K381" s="307">
        <f t="shared" ca="1" si="160"/>
        <v>1646.7642693921312</v>
      </c>
      <c r="L381" s="304">
        <f t="shared" ca="1" si="145"/>
        <v>1724.3855379078993</v>
      </c>
      <c r="M381" s="306">
        <f t="shared" ca="1" si="161"/>
        <v>-1.3006070549199358</v>
      </c>
      <c r="N381" s="304">
        <f t="shared" ca="1" si="162"/>
        <v>-74.519295051851998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4.0843000000000034</v>
      </c>
      <c r="T381" s="304">
        <f t="shared" ca="1" si="146"/>
        <v>40.066983000000036</v>
      </c>
      <c r="U381" s="311">
        <f t="shared" ca="1" si="147"/>
        <v>0</v>
      </c>
      <c r="V381" s="306">
        <f t="shared" ca="1" si="148"/>
        <v>1.0386177578412734</v>
      </c>
      <c r="W381" s="304">
        <f t="shared" ca="1" si="149"/>
        <v>6.2995927691605571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 t="e">
        <f t="shared" ca="1" si="150"/>
        <v>#N/A</v>
      </c>
      <c r="AG381" s="306">
        <f t="shared" ca="1" si="172"/>
        <v>7.9395570243926379</v>
      </c>
      <c r="AH381" s="304">
        <f t="shared" ca="1" si="173"/>
        <v>-1.5036628646301007</v>
      </c>
    </row>
    <row r="382" spans="1:34" x14ac:dyDescent="0.2">
      <c r="A382" s="347">
        <f t="shared" ca="1" si="151"/>
        <v>0.1</v>
      </c>
      <c r="B382" s="304">
        <f t="shared" ca="1" si="152"/>
        <v>26.400000000000077</v>
      </c>
      <c r="D382" s="306">
        <f t="shared" ca="1" si="153"/>
        <v>-0.41168585516453637</v>
      </c>
      <c r="E382" s="307">
        <f t="shared" ca="1" si="154"/>
        <v>-8.3235651084145488</v>
      </c>
      <c r="F382" s="304">
        <f t="shared" ca="1" si="155"/>
        <v>8.3337399381885344</v>
      </c>
      <c r="G382" s="306">
        <f t="shared" ca="1" si="156"/>
        <v>17.160493602249144</v>
      </c>
      <c r="H382" s="307">
        <f t="shared" ca="1" si="157"/>
        <v>-62.940759188270896</v>
      </c>
      <c r="I382" s="304">
        <f t="shared" ca="1" si="158"/>
        <v>65.238192095341986</v>
      </c>
      <c r="J382" s="306">
        <f t="shared" ca="1" si="159"/>
        <v>513.25786616544121</v>
      </c>
      <c r="K382" s="307">
        <f t="shared" ca="1" si="160"/>
        <v>1640.5118112988462</v>
      </c>
      <c r="L382" s="304">
        <f t="shared" ca="1" si="145"/>
        <v>1718.9277588635662</v>
      </c>
      <c r="M382" s="306">
        <f t="shared" ca="1" si="161"/>
        <v>-1.3046207036456252</v>
      </c>
      <c r="N382" s="304">
        <f t="shared" ca="1" si="162"/>
        <v>-74.749260184282051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4.0843000000000034</v>
      </c>
      <c r="T382" s="304">
        <f t="shared" ca="1" si="146"/>
        <v>40.066983000000036</v>
      </c>
      <c r="U382" s="311">
        <f t="shared" ca="1" si="147"/>
        <v>0</v>
      </c>
      <c r="V382" s="306">
        <f t="shared" ca="1" si="148"/>
        <v>1.0392717708005568</v>
      </c>
      <c r="W382" s="304">
        <f t="shared" ca="1" si="149"/>
        <v>6.4593836018867723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 t="e">
        <f t="shared" ca="1" si="150"/>
        <v>#N/A</v>
      </c>
      <c r="AG382" s="306">
        <f t="shared" ca="1" si="172"/>
        <v>7.9117047934227687</v>
      </c>
      <c r="AH382" s="304">
        <f t="shared" ca="1" si="173"/>
        <v>-1.5423922750925623</v>
      </c>
    </row>
    <row r="383" spans="1:34" x14ac:dyDescent="0.2">
      <c r="A383" s="347">
        <f t="shared" ca="1" si="151"/>
        <v>0.1</v>
      </c>
      <c r="B383" s="304">
        <f t="shared" ca="1" si="152"/>
        <v>26.500000000000078</v>
      </c>
      <c r="D383" s="306">
        <f t="shared" ca="1" si="153"/>
        <v>-0.41600763444970257</v>
      </c>
      <c r="E383" s="307">
        <f t="shared" ca="1" si="154"/>
        <v>-8.2841793011741132</v>
      </c>
      <c r="F383" s="304">
        <f t="shared" ca="1" si="155"/>
        <v>8.2946180771583489</v>
      </c>
      <c r="G383" s="306">
        <f t="shared" ca="1" si="156"/>
        <v>17.118892838804172</v>
      </c>
      <c r="H383" s="307">
        <f t="shared" ca="1" si="157"/>
        <v>-63.769177118388306</v>
      </c>
      <c r="I383" s="304">
        <f t="shared" ca="1" si="158"/>
        <v>66.026997829545749</v>
      </c>
      <c r="J383" s="306">
        <f t="shared" ca="1" si="159"/>
        <v>514.97183548749388</v>
      </c>
      <c r="K383" s="307">
        <f t="shared" ca="1" si="160"/>
        <v>1634.1763144835131</v>
      </c>
      <c r="L383" s="304">
        <f t="shared" ca="1" si="145"/>
        <v>1713.3966902513487</v>
      </c>
      <c r="M383" s="306">
        <f t="shared" ca="1" si="161"/>
        <v>-1.3085289004075138</v>
      </c>
      <c r="N383" s="304">
        <f t="shared" ca="1" si="162"/>
        <v>-74.973183364244974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4.0843000000000034</v>
      </c>
      <c r="T383" s="304">
        <f t="shared" ca="1" si="146"/>
        <v>40.066983000000036</v>
      </c>
      <c r="U383" s="311">
        <f t="shared" ca="1" si="147"/>
        <v>0</v>
      </c>
      <c r="V383" s="306">
        <f t="shared" ca="1" si="148"/>
        <v>1.039934855282463</v>
      </c>
      <c r="W383" s="304">
        <f t="shared" ca="1" si="149"/>
        <v>6.6207524153099602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 t="e">
        <f t="shared" ca="1" si="150"/>
        <v>#N/A</v>
      </c>
      <c r="AG383" s="306">
        <f t="shared" ca="1" si="172"/>
        <v>7.8830148659946762</v>
      </c>
      <c r="AH383" s="304">
        <f t="shared" ca="1" si="173"/>
        <v>-1.5815154621077705</v>
      </c>
    </row>
    <row r="384" spans="1:34" x14ac:dyDescent="0.2">
      <c r="A384" s="347">
        <f t="shared" ca="1" si="151"/>
        <v>0.1</v>
      </c>
      <c r="B384" s="304">
        <f t="shared" ca="1" si="152"/>
        <v>26.60000000000008</v>
      </c>
      <c r="D384" s="306">
        <f t="shared" ca="1" si="153"/>
        <v>-0.42028494720290704</v>
      </c>
      <c r="E384" s="307">
        <f t="shared" ca="1" si="154"/>
        <v>-8.2444066236793603</v>
      </c>
      <c r="F384" s="304">
        <f t="shared" ca="1" si="155"/>
        <v>8.2551123561956103</v>
      </c>
      <c r="G384" s="306">
        <f t="shared" ca="1" si="156"/>
        <v>17.07686434408388</v>
      </c>
      <c r="H384" s="307">
        <f t="shared" ca="1" si="157"/>
        <v>-64.593617780756247</v>
      </c>
      <c r="I384" s="304">
        <f t="shared" ca="1" si="158"/>
        <v>66.812833750954411</v>
      </c>
      <c r="J384" s="306">
        <f t="shared" ca="1" si="159"/>
        <v>516.68162334663828</v>
      </c>
      <c r="K384" s="307">
        <f t="shared" ca="1" si="160"/>
        <v>1627.7581747385559</v>
      </c>
      <c r="L384" s="304">
        <f t="shared" ca="1" si="145"/>
        <v>1707.7928959134103</v>
      </c>
      <c r="M384" s="306">
        <f t="shared" ca="1" si="161"/>
        <v>-1.3123357374522691</v>
      </c>
      <c r="N384" s="304">
        <f t="shared" ca="1" si="162"/>
        <v>-75.191299060203505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4.0843000000000034</v>
      </c>
      <c r="T384" s="304">
        <f t="shared" ca="1" si="146"/>
        <v>40.066983000000036</v>
      </c>
      <c r="U384" s="311">
        <f t="shared" ca="1" si="147"/>
        <v>0</v>
      </c>
      <c r="V384" s="306">
        <f t="shared" ca="1" si="148"/>
        <v>1.0406069854356197</v>
      </c>
      <c r="W384" s="304">
        <f t="shared" ca="1" si="149"/>
        <v>6.7836687386461021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 t="e">
        <f t="shared" ca="1" si="150"/>
        <v>#N/A</v>
      </c>
      <c r="AG384" s="306">
        <f t="shared" ca="1" si="172"/>
        <v>7.8535179592317572</v>
      </c>
      <c r="AH384" s="304">
        <f t="shared" ca="1" si="173"/>
        <v>-1.6210250019121892</v>
      </c>
    </row>
    <row r="385" spans="1:34" x14ac:dyDescent="0.2">
      <c r="A385" s="347">
        <f t="shared" ca="1" si="151"/>
        <v>0.1</v>
      </c>
      <c r="B385" s="304">
        <f t="shared" ca="1" si="152"/>
        <v>26.700000000000081</v>
      </c>
      <c r="D385" s="306">
        <f t="shared" ca="1" si="153"/>
        <v>-0.42451714450665551</v>
      </c>
      <c r="E385" s="307">
        <f t="shared" ca="1" si="154"/>
        <v>-8.2042544942016402</v>
      </c>
      <c r="F385" s="304">
        <f t="shared" ca="1" si="155"/>
        <v>8.215230161815791</v>
      </c>
      <c r="G385" s="306">
        <f t="shared" ca="1" si="156"/>
        <v>17.034412629633213</v>
      </c>
      <c r="H385" s="307">
        <f t="shared" ca="1" si="157"/>
        <v>-65.414043230176418</v>
      </c>
      <c r="I385" s="304">
        <f t="shared" ca="1" si="158"/>
        <v>67.595623122773247</v>
      </c>
      <c r="J385" s="306">
        <f t="shared" ca="1" si="159"/>
        <v>518.38718719532415</v>
      </c>
      <c r="K385" s="307">
        <f t="shared" ca="1" si="160"/>
        <v>1621.2577916880093</v>
      </c>
      <c r="L385" s="304">
        <f t="shared" ca="1" si="145"/>
        <v>1702.1169474972514</v>
      </c>
      <c r="M385" s="306">
        <f t="shared" ca="1" si="161"/>
        <v>-1.316045103255699</v>
      </c>
      <c r="N385" s="304">
        <f t="shared" ca="1" si="162"/>
        <v>-75.40383006541019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4.0843000000000034</v>
      </c>
      <c r="T385" s="304">
        <f t="shared" ca="1" si="146"/>
        <v>40.066983000000036</v>
      </c>
      <c r="U385" s="311">
        <f t="shared" ca="1" si="147"/>
        <v>0</v>
      </c>
      <c r="V385" s="306">
        <f t="shared" ca="1" si="148"/>
        <v>1.041288135135106</v>
      </c>
      <c r="W385" s="304">
        <f t="shared" ca="1" si="149"/>
        <v>6.9481019616804156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 t="e">
        <f t="shared" ca="1" si="150"/>
        <v>#N/A</v>
      </c>
      <c r="AG385" s="306">
        <f t="shared" ca="1" si="172"/>
        <v>7.8232433492400348</v>
      </c>
      <c r="AH385" s="304">
        <f t="shared" ca="1" si="173"/>
        <v>-1.6609134340391492</v>
      </c>
    </row>
    <row r="386" spans="1:34" x14ac:dyDescent="0.2">
      <c r="A386" s="347">
        <f t="shared" ca="1" si="151"/>
        <v>0.1</v>
      </c>
      <c r="B386" s="304">
        <f t="shared" ca="1" si="152"/>
        <v>26.800000000000082</v>
      </c>
      <c r="D386" s="306">
        <f t="shared" ca="1" si="153"/>
        <v>-0.42870360524471246</v>
      </c>
      <c r="E386" s="307">
        <f t="shared" ca="1" si="154"/>
        <v>-8.1637303706248225</v>
      </c>
      <c r="F386" s="304">
        <f t="shared" ca="1" si="155"/>
        <v>8.174978920181502</v>
      </c>
      <c r="G386" s="306">
        <f t="shared" ca="1" si="156"/>
        <v>16.991542269108741</v>
      </c>
      <c r="H386" s="307">
        <f t="shared" ca="1" si="157"/>
        <v>-66.230416267238894</v>
      </c>
      <c r="I386" s="304">
        <f t="shared" ca="1" si="158"/>
        <v>68.375291938057941</v>
      </c>
      <c r="J386" s="306">
        <f t="shared" ca="1" si="159"/>
        <v>520.0884849402612</v>
      </c>
      <c r="K386" s="307">
        <f t="shared" ca="1" si="160"/>
        <v>1614.6755687131385</v>
      </c>
      <c r="L386" s="304">
        <f t="shared" ca="1" si="145"/>
        <v>1696.3694244964902</v>
      </c>
      <c r="M386" s="306">
        <f t="shared" ca="1" si="161"/>
        <v>-1.3196606946760401</v>
      </c>
      <c r="N386" s="304">
        <f t="shared" ca="1" si="162"/>
        <v>-75.61098819423944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4.0843000000000034</v>
      </c>
      <c r="T386" s="304">
        <f t="shared" ca="1" si="146"/>
        <v>40.066983000000036</v>
      </c>
      <c r="U386" s="311">
        <f t="shared" ca="1" si="147"/>
        <v>0</v>
      </c>
      <c r="V386" s="306">
        <f t="shared" ca="1" si="148"/>
        <v>1.0419782779865843</v>
      </c>
      <c r="W386" s="304">
        <f t="shared" ca="1" si="149"/>
        <v>7.1140213452241667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 t="e">
        <f t="shared" ca="1" si="150"/>
        <v>#N/A</v>
      </c>
      <c r="AG386" s="306">
        <f t="shared" ca="1" si="172"/>
        <v>7.7922189772454704</v>
      </c>
      <c r="AH386" s="304">
        <f t="shared" ca="1" si="173"/>
        <v>-1.7011732638837525</v>
      </c>
    </row>
    <row r="387" spans="1:34" x14ac:dyDescent="0.2">
      <c r="A387" s="347">
        <f t="shared" ca="1" si="151"/>
        <v>0.1</v>
      </c>
      <c r="B387" s="304">
        <f t="shared" ca="1" si="152"/>
        <v>26.900000000000084</v>
      </c>
      <c r="D387" s="306">
        <f t="shared" ca="1" si="153"/>
        <v>-0.43284373522360786</v>
      </c>
      <c r="E387" s="307">
        <f t="shared" ca="1" si="154"/>
        <v>-8.122841747470769</v>
      </c>
      <c r="F387" s="304">
        <f t="shared" ca="1" si="155"/>
        <v>8.1343660941450313</v>
      </c>
      <c r="G387" s="306">
        <f t="shared" ca="1" si="156"/>
        <v>16.94825789558638</v>
      </c>
      <c r="H387" s="307">
        <f t="shared" ca="1" si="157"/>
        <v>-67.042700441985971</v>
      </c>
      <c r="I387" s="304">
        <f t="shared" ca="1" si="158"/>
        <v>69.15176880058219</v>
      </c>
      <c r="J387" s="306">
        <f t="shared" ca="1" si="159"/>
        <v>521.7854749484959</v>
      </c>
      <c r="K387" s="307">
        <f t="shared" ca="1" si="160"/>
        <v>1608.0119128776773</v>
      </c>
      <c r="L387" s="304">
        <f t="shared" ca="1" si="145"/>
        <v>1690.5509142950277</v>
      </c>
      <c r="M387" s="306">
        <f t="shared" ca="1" si="161"/>
        <v>-1.3231860282764751</v>
      </c>
      <c r="N387" s="304">
        <f t="shared" ca="1" si="162"/>
        <v>-75.812974930920035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4.0843000000000034</v>
      </c>
      <c r="T387" s="304">
        <f t="shared" ca="1" si="146"/>
        <v>40.066983000000036</v>
      </c>
      <c r="U387" s="311">
        <f t="shared" ca="1" si="147"/>
        <v>0</v>
      </c>
      <c r="V387" s="306">
        <f t="shared" ca="1" si="148"/>
        <v>1.0426773873304642</v>
      </c>
      <c r="W387" s="304">
        <f t="shared" ca="1" si="149"/>
        <v>7.2813960315465227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 t="e">
        <f t="shared" ca="1" si="150"/>
        <v>#N/A</v>
      </c>
      <c r="AG387" s="306">
        <f t="shared" ca="1" si="172"/>
        <v>7.7604715467339265</v>
      </c>
      <c r="AH387" s="304">
        <f t="shared" ca="1" si="173"/>
        <v>-1.74179696526312</v>
      </c>
    </row>
    <row r="388" spans="1:34" x14ac:dyDescent="0.2">
      <c r="A388" s="347">
        <f t="shared" ca="1" si="151"/>
        <v>0.1</v>
      </c>
      <c r="B388" s="304">
        <f t="shared" ca="1" si="152"/>
        <v>27.000000000000085</v>
      </c>
      <c r="D388" s="306">
        <f t="shared" ca="1" si="153"/>
        <v>-0.43693696635342594</v>
      </c>
      <c r="E388" s="307">
        <f t="shared" ca="1" si="154"/>
        <v>-8.081596152965588</v>
      </c>
      <c r="F388" s="304">
        <f t="shared" ca="1" si="155"/>
        <v>8.0933991803317298</v>
      </c>
      <c r="G388" s="306">
        <f t="shared" ca="1" si="156"/>
        <v>16.904564198951036</v>
      </c>
      <c r="H388" s="307">
        <f t="shared" ca="1" si="157"/>
        <v>-67.850860057282532</v>
      </c>
      <c r="I388" s="304">
        <f t="shared" ca="1" si="158"/>
        <v>69.924984814223563</v>
      </c>
      <c r="J388" s="306">
        <f t="shared" ca="1" si="159"/>
        <v>523.47811605322272</v>
      </c>
      <c r="K388" s="307">
        <f t="shared" ca="1" si="160"/>
        <v>1601.267234852714</v>
      </c>
      <c r="L388" s="304">
        <f t="shared" ref="L388:L451" ca="1" si="174">SQRT(pos_x^2+pos_z^2)</f>
        <v>1684.662012214761</v>
      </c>
      <c r="M388" s="306">
        <f t="shared" ca="1" si="161"/>
        <v>-1.3266244508797584</v>
      </c>
      <c r="N388" s="304">
        <f t="shared" ca="1" si="162"/>
        <v>-76.00998203427055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4.0843000000000034</v>
      </c>
      <c r="T388" s="304">
        <f t="shared" ref="T388:T451" ca="1" si="175">m*g</f>
        <v>40.066983000000036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1.0433854362461021</v>
      </c>
      <c r="W388" s="304">
        <f t="shared" ref="W388:W451" ca="1" si="178">1/2*Rho*Sref*Cx*vit_xz^2</f>
        <v>7.4501950547755698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>
        <f t="shared" ca="1" si="170"/>
        <v>27.000000000000085</v>
      </c>
      <c r="AD388" s="323">
        <f t="shared" ca="1" si="171"/>
        <v>523.47811605322272</v>
      </c>
      <c r="AE388" s="324" t="e">
        <f t="shared" ref="AE388:AE451" ca="1" si="179">IF(t&lt;T_para, pos_z, NA())</f>
        <v>#N/A</v>
      </c>
      <c r="AG388" s="306">
        <f t="shared" ca="1" si="172"/>
        <v>7.7280266124155306</v>
      </c>
      <c r="AH388" s="304">
        <f t="shared" ca="1" si="173"/>
        <v>-1.7827769829705253</v>
      </c>
    </row>
    <row r="389" spans="1:34" x14ac:dyDescent="0.2">
      <c r="A389" s="347">
        <f t="shared" ref="A389:A452" ca="1" si="180">IF(B388+0.01&lt;=T_ini+ROUNDUP(Temps_fin_propu,0), 0.01, IF(K388&gt;0, 0.1, 0.0001))</f>
        <v>0.1</v>
      </c>
      <c r="B389" s="304">
        <f t="shared" ref="B389:B452" ca="1" si="181">B388+pas</f>
        <v>27.100000000000087</v>
      </c>
      <c r="D389" s="306">
        <f t="shared" ref="D389:D452" ca="1" si="182">IF(AND(L388&lt;L_rampe,Poussee&lt;Poids*SIN(M388)),0,(-W388+Poussee)/m*COS(M388)-U388/m*SIN(M388))</f>
        <v>-0.44098275588259905</v>
      </c>
      <c r="E389" s="307">
        <f t="shared" ref="E389:E452" ca="1" si="183">IF(AND(L388&lt;L_rampe,Poussee&lt;Poids*SIN(M388)),0,(-W388+Poussee)/m*SIN(M388)+U388/m*COS(M388)-Poids/m)</f>
        <v>-8.0400011461447978</v>
      </c>
      <c r="F389" s="304">
        <f t="shared" ref="F389:F452" ca="1" si="184">SQRT(acc_x^2+acc_z^2)</f>
        <v>8.0520857062624138</v>
      </c>
      <c r="G389" s="306">
        <f t="shared" ref="G389:G452" ca="1" si="185">G388+acc_x*pas</f>
        <v>16.860465923362774</v>
      </c>
      <c r="H389" s="307">
        <f t="shared" ref="H389:H452" ca="1" si="186">H388+acc_z*pas</f>
        <v>-68.654860171897013</v>
      </c>
      <c r="I389" s="304">
        <f t="shared" ref="I389:I452" ca="1" si="187">SQRT(vit_x^2+vit_z^2)</f>
        <v>70.694873480158435</v>
      </c>
      <c r="J389" s="306">
        <f t="shared" ref="J389:J452" ca="1" si="188">J388+0.5*(vit_x+G388)*pas*(K388&gt;=0)</f>
        <v>525.16636755933837</v>
      </c>
      <c r="K389" s="307">
        <f t="shared" ref="K389:K452" ca="1" si="189">K388+0.5*(vit_z+H388)*pas</f>
        <v>1594.441948841255</v>
      </c>
      <c r="L389" s="304">
        <f t="shared" ca="1" si="174"/>
        <v>1678.7033215670269</v>
      </c>
      <c r="M389" s="306">
        <f t="shared" ref="M389:M452" ca="1" si="190">IF(AND(L388&gt;L_rampe,G389&gt;0),ATAN2(G389,H389),$M$4)</f>
        <v>-1.3299791494127333</v>
      </c>
      <c r="N389" s="304">
        <f t="shared" ref="N389:N452" ca="1" si="191">DEGREES(Beta)</f>
        <v>-76.202192101748736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4.0843000000000034</v>
      </c>
      <c r="T389" s="304">
        <f t="shared" ca="1" si="175"/>
        <v>40.066983000000036</v>
      </c>
      <c r="U389" s="311">
        <f t="shared" ca="1" si="176"/>
        <v>0</v>
      </c>
      <c r="V389" s="306">
        <f t="shared" ca="1" si="177"/>
        <v>1.0441023975560209</v>
      </c>
      <c r="W389" s="304">
        <f t="shared" ca="1" si="178"/>
        <v>7.6203873512628197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 t="e">
        <f t="shared" ca="1" si="179"/>
        <v>#N/A</v>
      </c>
      <c r="AG389" s="306">
        <f t="shared" ref="AG389:AG452" ca="1" si="201">IF(AND(L388&lt;L_rampe,Poussee&lt;Poids*SIN(M388)),0,(-W388+Poussee)/m-Poids*SIN(M388)/m)</f>
        <v>7.6949086617544058</v>
      </c>
      <c r="AH389" s="304">
        <f t="shared" ref="AH389:AH452" ca="1" si="202">IF(AND(L388&lt;L_rampe,Poussee&lt;Poids*SIN(M388)), g*SIN(M388), (-W388+Poussee)/m)</f>
        <v>-1.8241057353219801</v>
      </c>
    </row>
    <row r="390" spans="1:34" x14ac:dyDescent="0.2">
      <c r="A390" s="347">
        <f t="shared" ca="1" si="180"/>
        <v>0.1</v>
      </c>
      <c r="B390" s="304">
        <f t="shared" ca="1" si="181"/>
        <v>27.200000000000088</v>
      </c>
      <c r="D390" s="306">
        <f t="shared" ca="1" si="182"/>
        <v>-0.44498058568189447</v>
      </c>
      <c r="E390" s="307">
        <f t="shared" ca="1" si="183"/>
        <v>-7.9980643139957692</v>
      </c>
      <c r="F390" s="304">
        <f t="shared" ca="1" si="184"/>
        <v>8.0104332275131291</v>
      </c>
      <c r="G390" s="306">
        <f t="shared" ca="1" si="185"/>
        <v>16.815967864794583</v>
      </c>
      <c r="H390" s="307">
        <f t="shared" ca="1" si="186"/>
        <v>-69.454666603296587</v>
      </c>
      <c r="I390" s="304">
        <f t="shared" ca="1" si="187"/>
        <v>71.461370601219841</v>
      </c>
      <c r="J390" s="306">
        <f t="shared" ca="1" si="188"/>
        <v>526.85018924874623</v>
      </c>
      <c r="K390" s="307">
        <f t="shared" ca="1" si="189"/>
        <v>1587.5364725024954</v>
      </c>
      <c r="L390" s="304">
        <f t="shared" ca="1" si="174"/>
        <v>1672.6754537079528</v>
      </c>
      <c r="M390" s="306">
        <f t="shared" ca="1" si="190"/>
        <v>-1.3332531600938387</v>
      </c>
      <c r="N390" s="304">
        <f t="shared" ca="1" si="191"/>
        <v>-76.389779095856824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4.0843000000000034</v>
      </c>
      <c r="T390" s="304">
        <f t="shared" ca="1" si="175"/>
        <v>40.066983000000036</v>
      </c>
      <c r="U390" s="311">
        <f t="shared" ca="1" si="176"/>
        <v>0</v>
      </c>
      <c r="V390" s="306">
        <f t="shared" ca="1" si="177"/>
        <v>1.0448282438301661</v>
      </c>
      <c r="W390" s="304">
        <f t="shared" ca="1" si="178"/>
        <v>7.7919417699056268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 t="e">
        <f t="shared" ca="1" si="179"/>
        <v>#N/A</v>
      </c>
      <c r="AG390" s="306">
        <f t="shared" ca="1" si="201"/>
        <v>7.6611411897325246</v>
      </c>
      <c r="AH390" s="304">
        <f t="shared" ca="1" si="202"/>
        <v>-1.8657756166938799</v>
      </c>
    </row>
    <row r="391" spans="1:34" x14ac:dyDescent="0.2">
      <c r="A391" s="347">
        <f t="shared" ca="1" si="180"/>
        <v>0.1</v>
      </c>
      <c r="B391" s="304">
        <f t="shared" ca="1" si="181"/>
        <v>27.30000000000009</v>
      </c>
      <c r="D391" s="306">
        <f t="shared" ca="1" si="182"/>
        <v>-0.44892996157323795</v>
      </c>
      <c r="E391" s="307">
        <f t="shared" ca="1" si="183"/>
        <v>-7.9557932686361692</v>
      </c>
      <c r="F391" s="304">
        <f t="shared" ca="1" si="184"/>
        <v>7.9684493249110098</v>
      </c>
      <c r="G391" s="306">
        <f t="shared" ca="1" si="185"/>
        <v>16.77107486863726</v>
      </c>
      <c r="H391" s="307">
        <f t="shared" ca="1" si="186"/>
        <v>-70.250245930160204</v>
      </c>
      <c r="I391" s="304">
        <f t="shared" ca="1" si="187"/>
        <v>72.224414192829741</v>
      </c>
      <c r="J391" s="306">
        <f t="shared" ca="1" si="188"/>
        <v>528.52954138541782</v>
      </c>
      <c r="K391" s="307">
        <f t="shared" ca="1" si="189"/>
        <v>1580.5512268758225</v>
      </c>
      <c r="L391" s="304">
        <f t="shared" ca="1" si="174"/>
        <v>1666.579028097902</v>
      </c>
      <c r="M391" s="306">
        <f t="shared" ca="1" si="190"/>
        <v>-1.3364493770124228</v>
      </c>
      <c r="N391" s="304">
        <f t="shared" ca="1" si="191"/>
        <v>-76.572908835700005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4.0843000000000034</v>
      </c>
      <c r="T391" s="304">
        <f t="shared" ca="1" si="175"/>
        <v>40.066983000000036</v>
      </c>
      <c r="U391" s="311">
        <f t="shared" ca="1" si="176"/>
        <v>0</v>
      </c>
      <c r="V391" s="306">
        <f t="shared" ca="1" si="177"/>
        <v>1.0455629473901833</v>
      </c>
      <c r="W391" s="304">
        <f t="shared" ca="1" si="178"/>
        <v>7.9648270824219516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 t="e">
        <f t="shared" ca="1" si="179"/>
        <v>#N/A</v>
      </c>
      <c r="AG391" s="306">
        <f t="shared" ca="1" si="201"/>
        <v>7.6267467674516451</v>
      </c>
      <c r="AH391" s="304">
        <f t="shared" ca="1" si="202"/>
        <v>-1.9077790000503441</v>
      </c>
    </row>
    <row r="392" spans="1:34" x14ac:dyDescent="0.2">
      <c r="A392" s="347">
        <f t="shared" ca="1" si="180"/>
        <v>0.1</v>
      </c>
      <c r="B392" s="304">
        <f t="shared" ca="1" si="181"/>
        <v>27.400000000000091</v>
      </c>
      <c r="D392" s="306">
        <f t="shared" ca="1" si="182"/>
        <v>-0.45283041269939928</v>
      </c>
      <c r="E392" s="307">
        <f t="shared" ca="1" si="183"/>
        <v>-7.9131956445273692</v>
      </c>
      <c r="F392" s="304">
        <f t="shared" ca="1" si="184"/>
        <v>7.9261416017651634</v>
      </c>
      <c r="G392" s="306">
        <f t="shared" ca="1" si="185"/>
        <v>16.725791827367321</v>
      </c>
      <c r="H392" s="307">
        <f t="shared" ca="1" si="186"/>
        <v>-71.041565494612939</v>
      </c>
      <c r="I392" s="304">
        <f t="shared" ca="1" si="187"/>
        <v>72.983944399969275</v>
      </c>
      <c r="J392" s="306">
        <f t="shared" ca="1" si="188"/>
        <v>530.20438472021806</v>
      </c>
      <c r="K392" s="307">
        <f t="shared" ca="1" si="189"/>
        <v>1573.486636304584</v>
      </c>
      <c r="L392" s="304">
        <f t="shared" ca="1" si="174"/>
        <v>1660.4146723652073</v>
      </c>
      <c r="M392" s="306">
        <f t="shared" ca="1" si="190"/>
        <v>-1.3395705601447587</v>
      </c>
      <c r="N392" s="304">
        <f t="shared" ca="1" si="191"/>
        <v>-76.751739456270272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4.0843000000000034</v>
      </c>
      <c r="T392" s="304">
        <f t="shared" ca="1" si="175"/>
        <v>40.066983000000036</v>
      </c>
      <c r="U392" s="311">
        <f t="shared" ca="1" si="176"/>
        <v>0</v>
      </c>
      <c r="V392" s="306">
        <f t="shared" ca="1" si="177"/>
        <v>1.0463064803137183</v>
      </c>
      <c r="W392" s="304">
        <f t="shared" ca="1" si="178"/>
        <v>8.1390119935721597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 t="e">
        <f t="shared" ca="1" si="179"/>
        <v>#N/A</v>
      </c>
      <c r="AG392" s="306">
        <f t="shared" ca="1" si="201"/>
        <v>7.5917471051191647</v>
      </c>
      <c r="AH392" s="304">
        <f t="shared" ca="1" si="202"/>
        <v>-1.9501082394588902</v>
      </c>
    </row>
    <row r="393" spans="1:34" x14ac:dyDescent="0.2">
      <c r="A393" s="347">
        <f t="shared" ca="1" si="180"/>
        <v>0.1</v>
      </c>
      <c r="B393" s="304">
        <f t="shared" ca="1" si="181"/>
        <v>27.500000000000092</v>
      </c>
      <c r="D393" s="306">
        <f t="shared" ca="1" si="182"/>
        <v>-0.45668149093093136</v>
      </c>
      <c r="E393" s="307">
        <f t="shared" ca="1" si="183"/>
        <v>-7.8702790957219566</v>
      </c>
      <c r="F393" s="304">
        <f t="shared" ca="1" si="184"/>
        <v>7.8835176811317496</v>
      </c>
      <c r="G393" s="306">
        <f t="shared" ca="1" si="185"/>
        <v>16.680123678274228</v>
      </c>
      <c r="H393" s="307">
        <f t="shared" ca="1" si="186"/>
        <v>-71.828593404185142</v>
      </c>
      <c r="I393" s="304">
        <f t="shared" ca="1" si="187"/>
        <v>73.739903419697214</v>
      </c>
      <c r="J393" s="306">
        <f t="shared" ca="1" si="188"/>
        <v>531.87468049550012</v>
      </c>
      <c r="K393" s="307">
        <f t="shared" ca="1" si="189"/>
        <v>1566.343128359644</v>
      </c>
      <c r="L393" s="304">
        <f t="shared" ca="1" si="174"/>
        <v>1654.1830223743884</v>
      </c>
      <c r="M393" s="306">
        <f t="shared" ca="1" si="190"/>
        <v>-1.3426193428480622</v>
      </c>
      <c r="N393" s="304">
        <f t="shared" ca="1" si="191"/>
        <v>-76.926421837822048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4.0843000000000034</v>
      </c>
      <c r="T393" s="304">
        <f t="shared" ca="1" si="175"/>
        <v>40.066983000000036</v>
      </c>
      <c r="U393" s="311">
        <f t="shared" ca="1" si="176"/>
        <v>0</v>
      </c>
      <c r="V393" s="306">
        <f t="shared" ca="1" si="177"/>
        <v>1.0470588144387456</v>
      </c>
      <c r="W393" s="304">
        <f t="shared" ca="1" si="178"/>
        <v>8.3144651513225831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 t="e">
        <f t="shared" ca="1" si="179"/>
        <v>#N/A</v>
      </c>
      <c r="AG393" s="306">
        <f t="shared" ca="1" si="201"/>
        <v>7.5561631099116653</v>
      </c>
      <c r="AH393" s="304">
        <f t="shared" ca="1" si="202"/>
        <v>-1.9927556725931379</v>
      </c>
    </row>
    <row r="394" spans="1:34" x14ac:dyDescent="0.2">
      <c r="A394" s="347">
        <f t="shared" ca="1" si="180"/>
        <v>0.1</v>
      </c>
      <c r="B394" s="304">
        <f t="shared" ca="1" si="181"/>
        <v>27.600000000000094</v>
      </c>
      <c r="D394" s="306">
        <f t="shared" ca="1" si="182"/>
        <v>-0.46048277030707452</v>
      </c>
      <c r="E394" s="307">
        <f t="shared" ca="1" si="183"/>
        <v>-7.8270512931447431</v>
      </c>
      <c r="F394" s="304">
        <f t="shared" ca="1" si="184"/>
        <v>7.8405852031126138</v>
      </c>
      <c r="G394" s="306">
        <f t="shared" ca="1" si="185"/>
        <v>16.634075401243521</v>
      </c>
      <c r="H394" s="307">
        <f t="shared" ca="1" si="186"/>
        <v>-72.611298533499621</v>
      </c>
      <c r="I394" s="304">
        <f t="shared" ca="1" si="187"/>
        <v>74.492235428769746</v>
      </c>
      <c r="J394" s="306">
        <f t="shared" ca="1" si="188"/>
        <v>533.54039044947604</v>
      </c>
      <c r="K394" s="307">
        <f t="shared" ca="1" si="189"/>
        <v>1559.1211337627597</v>
      </c>
      <c r="L394" s="304">
        <f t="shared" ca="1" si="174"/>
        <v>1647.8847222990607</v>
      </c>
      <c r="M394" s="306">
        <f t="shared" ca="1" si="190"/>
        <v>-1.3455982388705248</v>
      </c>
      <c r="N394" s="304">
        <f t="shared" ca="1" si="191"/>
        <v>-77.097100007517469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4.0843000000000034</v>
      </c>
      <c r="T394" s="304">
        <f t="shared" ca="1" si="175"/>
        <v>40.066983000000036</v>
      </c>
      <c r="U394" s="311">
        <f t="shared" ca="1" si="176"/>
        <v>0</v>
      </c>
      <c r="V394" s="306">
        <f t="shared" ca="1" si="177"/>
        <v>1.0478199213679136</v>
      </c>
      <c r="W394" s="304">
        <f t="shared" ca="1" si="178"/>
        <v>8.4911551569456645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 t="e">
        <f t="shared" ca="1" si="179"/>
        <v>#N/A</v>
      </c>
      <c r="AG394" s="306">
        <f t="shared" ca="1" si="201"/>
        <v>7.520014939162988</v>
      </c>
      <c r="AH394" s="304">
        <f t="shared" ca="1" si="202"/>
        <v>-2.0357136232212563</v>
      </c>
    </row>
    <row r="395" spans="1:34" x14ac:dyDescent="0.2">
      <c r="A395" s="347">
        <f t="shared" ca="1" si="180"/>
        <v>0.1</v>
      </c>
      <c r="B395" s="304">
        <f t="shared" ca="1" si="181"/>
        <v>27.700000000000095</v>
      </c>
      <c r="D395" s="306">
        <f t="shared" ca="1" si="182"/>
        <v>-0.46423384650763089</v>
      </c>
      <c r="E395" s="307">
        <f t="shared" ca="1" si="183"/>
        <v>-7.7835199219067839</v>
      </c>
      <c r="F395" s="304">
        <f t="shared" ca="1" si="184"/>
        <v>7.7973518221870082</v>
      </c>
      <c r="G395" s="306">
        <f t="shared" ca="1" si="185"/>
        <v>16.587652016592759</v>
      </c>
      <c r="H395" s="307">
        <f t="shared" ca="1" si="186"/>
        <v>-73.3896505256903</v>
      </c>
      <c r="I395" s="304">
        <f t="shared" ca="1" si="187"/>
        <v>75.240886515953079</v>
      </c>
      <c r="J395" s="306">
        <f t="shared" ca="1" si="188"/>
        <v>535.20147682036782</v>
      </c>
      <c r="K395" s="307">
        <f t="shared" ca="1" si="189"/>
        <v>1551.8210863098002</v>
      </c>
      <c r="L395" s="304">
        <f t="shared" ca="1" si="174"/>
        <v>1641.520424699745</v>
      </c>
      <c r="M395" s="306">
        <f t="shared" ca="1" si="190"/>
        <v>-1.3485096489123607</v>
      </c>
      <c r="N395" s="304">
        <f t="shared" ca="1" si="191"/>
        <v>-77.263911515346678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4.0843000000000034</v>
      </c>
      <c r="T395" s="304">
        <f t="shared" ca="1" si="175"/>
        <v>40.066983000000036</v>
      </c>
      <c r="U395" s="311">
        <f t="shared" ca="1" si="176"/>
        <v>0</v>
      </c>
      <c r="V395" s="306">
        <f t="shared" ca="1" si="177"/>
        <v>1.0485897724729119</v>
      </c>
      <c r="W395" s="304">
        <f t="shared" ca="1" si="178"/>
        <v>8.6690505750517062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 t="e">
        <f t="shared" ca="1" si="179"/>
        <v>#N/A</v>
      </c>
      <c r="AG395" s="306">
        <f t="shared" ca="1" si="201"/>
        <v>7.4833220492817238</v>
      </c>
      <c r="AH395" s="304">
        <f t="shared" ca="1" si="202"/>
        <v>-2.078974403678882</v>
      </c>
    </row>
    <row r="396" spans="1:34" x14ac:dyDescent="0.2">
      <c r="A396" s="347">
        <f t="shared" ca="1" si="180"/>
        <v>0.1</v>
      </c>
      <c r="B396" s="304">
        <f t="shared" ca="1" si="181"/>
        <v>27.800000000000097</v>
      </c>
      <c r="D396" s="306">
        <f t="shared" ca="1" si="182"/>
        <v>-0.46793433635308351</v>
      </c>
      <c r="E396" s="307">
        <f t="shared" ca="1" si="183"/>
        <v>-7.7396926786520766</v>
      </c>
      <c r="F396" s="304">
        <f t="shared" ca="1" si="184"/>
        <v>7.7538252045760458</v>
      </c>
      <c r="G396" s="306">
        <f t="shared" ca="1" si="185"/>
        <v>16.540858582957451</v>
      </c>
      <c r="H396" s="307">
        <f t="shared" ca="1" si="186"/>
        <v>-74.163619793555512</v>
      </c>
      <c r="I396" s="304">
        <f t="shared" ca="1" si="187"/>
        <v>75.985804618655294</v>
      </c>
      <c r="J396" s="306">
        <f t="shared" ca="1" si="188"/>
        <v>536.85790235034528</v>
      </c>
      <c r="K396" s="307">
        <f t="shared" ca="1" si="189"/>
        <v>1544.443422793838</v>
      </c>
      <c r="L396" s="304">
        <f t="shared" ca="1" si="174"/>
        <v>1635.0907906067964</v>
      </c>
      <c r="M396" s="306">
        <f t="shared" ca="1" si="190"/>
        <v>-1.3513558667701071</v>
      </c>
      <c r="N396" s="304">
        <f t="shared" ca="1" si="191"/>
        <v>-77.426987786170301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4.0843000000000034</v>
      </c>
      <c r="T396" s="304">
        <f t="shared" ca="1" si="175"/>
        <v>40.066983000000036</v>
      </c>
      <c r="U396" s="311">
        <f t="shared" ca="1" si="176"/>
        <v>0</v>
      </c>
      <c r="V396" s="306">
        <f t="shared" ca="1" si="177"/>
        <v>1.0493683388988559</v>
      </c>
      <c r="W396" s="304">
        <f t="shared" ca="1" si="178"/>
        <v>8.8481199435472391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 t="e">
        <f t="shared" ca="1" si="179"/>
        <v>#N/A</v>
      </c>
      <c r="AG396" s="306">
        <f t="shared" ca="1" si="201"/>
        <v>7.4461032407651295</v>
      </c>
      <c r="AH396" s="304">
        <f t="shared" ca="1" si="202"/>
        <v>-2.1225303173252943</v>
      </c>
    </row>
    <row r="397" spans="1:34" x14ac:dyDescent="0.2">
      <c r="A397" s="347">
        <f t="shared" ca="1" si="180"/>
        <v>0.1</v>
      </c>
      <c r="B397" s="304">
        <f t="shared" ca="1" si="181"/>
        <v>27.900000000000098</v>
      </c>
      <c r="D397" s="306">
        <f t="shared" ca="1" si="182"/>
        <v>-0.47158387733046708</v>
      </c>
      <c r="E397" s="307">
        <f t="shared" ca="1" si="183"/>
        <v>-7.6955772689367743</v>
      </c>
      <c r="F397" s="304">
        <f t="shared" ca="1" si="184"/>
        <v>7.7100130256397374</v>
      </c>
      <c r="G397" s="306">
        <f t="shared" ca="1" si="185"/>
        <v>16.493700195224406</v>
      </c>
      <c r="H397" s="307">
        <f t="shared" ca="1" si="186"/>
        <v>-74.933177520449192</v>
      </c>
      <c r="I397" s="304">
        <f t="shared" ca="1" si="187"/>
        <v>76.726939463535871</v>
      </c>
      <c r="J397" s="306">
        <f t="shared" ca="1" si="188"/>
        <v>538.50963028925435</v>
      </c>
      <c r="K397" s="307">
        <f t="shared" ca="1" si="189"/>
        <v>1536.9885829281377</v>
      </c>
      <c r="L397" s="304">
        <f t="shared" ca="1" si="174"/>
        <v>1628.5964896086798</v>
      </c>
      <c r="M397" s="306">
        <f t="shared" ca="1" si="190"/>
        <v>-1.3541390850938884</v>
      </c>
      <c r="N397" s="304">
        <f t="shared" ca="1" si="191"/>
        <v>-77.586454449586455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4.0843000000000034</v>
      </c>
      <c r="T397" s="304">
        <f t="shared" ca="1" si="175"/>
        <v>40.066983000000036</v>
      </c>
      <c r="U397" s="311">
        <f t="shared" ca="1" si="176"/>
        <v>0</v>
      </c>
      <c r="V397" s="306">
        <f t="shared" ca="1" si="177"/>
        <v>1.0501555915686904</v>
      </c>
      <c r="W397" s="304">
        <f t="shared" ca="1" si="178"/>
        <v>9.0283317835153305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 t="e">
        <f t="shared" ca="1" si="179"/>
        <v>#N/A</v>
      </c>
      <c r="AG397" s="306">
        <f t="shared" ca="1" si="201"/>
        <v>7.4083766996424476</v>
      </c>
      <c r="AH397" s="304">
        <f t="shared" ca="1" si="202"/>
        <v>-2.1663736609816202</v>
      </c>
    </row>
    <row r="398" spans="1:34" x14ac:dyDescent="0.2">
      <c r="A398" s="347">
        <f t="shared" ca="1" si="180"/>
        <v>0.1</v>
      </c>
      <c r="B398" s="304">
        <f t="shared" ca="1" si="181"/>
        <v>28.000000000000099</v>
      </c>
      <c r="D398" s="306">
        <f t="shared" ca="1" si="182"/>
        <v>-0.47518212714273017</v>
      </c>
      <c r="E398" s="307">
        <f t="shared" ca="1" si="183"/>
        <v>-7.6511814046407549</v>
      </c>
      <c r="F398" s="304">
        <f t="shared" ca="1" si="184"/>
        <v>7.6659229673064395</v>
      </c>
      <c r="G398" s="306">
        <f t="shared" ca="1" si="185"/>
        <v>16.446181982510133</v>
      </c>
      <c r="H398" s="307">
        <f t="shared" ca="1" si="186"/>
        <v>-75.698295660913274</v>
      </c>
      <c r="I398" s="304">
        <f t="shared" ca="1" si="187"/>
        <v>77.464242510779656</v>
      </c>
      <c r="J398" s="306">
        <f t="shared" ca="1" si="188"/>
        <v>540.15662439814105</v>
      </c>
      <c r="K398" s="307">
        <f t="shared" ca="1" si="189"/>
        <v>1529.4570092690697</v>
      </c>
      <c r="L398" s="304">
        <f t="shared" ca="1" si="174"/>
        <v>1622.0381999458218</v>
      </c>
      <c r="M398" s="306">
        <f t="shared" ca="1" si="190"/>
        <v>-1.3568614007850379</v>
      </c>
      <c r="N398" s="304">
        <f t="shared" ca="1" si="191"/>
        <v>-77.742431649191559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4.0843000000000034</v>
      </c>
      <c r="T398" s="304">
        <f t="shared" ca="1" si="175"/>
        <v>40.066983000000036</v>
      </c>
      <c r="U398" s="311">
        <f t="shared" ca="1" si="176"/>
        <v>0</v>
      </c>
      <c r="V398" s="306">
        <f t="shared" ca="1" si="177"/>
        <v>1.0509515011876076</v>
      </c>
      <c r="W398" s="304">
        <f t="shared" ca="1" si="178"/>
        <v>9.2096546090130005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>
        <f t="shared" ca="1" si="199"/>
        <v>28.000000000000099</v>
      </c>
      <c r="AD398" s="323">
        <f t="shared" ca="1" si="200"/>
        <v>540.15662439814105</v>
      </c>
      <c r="AE398" s="324" t="e">
        <f t="shared" ca="1" si="179"/>
        <v>#N/A</v>
      </c>
      <c r="AG398" s="306">
        <f t="shared" ca="1" si="201"/>
        <v>7.3701600356499402</v>
      </c>
      <c r="AH398" s="304">
        <f t="shared" ca="1" si="202"/>
        <v>-2.210496727349931</v>
      </c>
    </row>
    <row r="399" spans="1:34" x14ac:dyDescent="0.2">
      <c r="A399" s="347">
        <f t="shared" ca="1" si="180"/>
        <v>0.1</v>
      </c>
      <c r="B399" s="304">
        <f t="shared" ca="1" si="181"/>
        <v>28.100000000000101</v>
      </c>
      <c r="D399" s="306">
        <f t="shared" ca="1" si="182"/>
        <v>-0.47872876327951008</v>
      </c>
      <c r="E399" s="307">
        <f t="shared" ca="1" si="183"/>
        <v>-7.6065128014116343</v>
      </c>
      <c r="F399" s="304">
        <f t="shared" ca="1" si="184"/>
        <v>7.6215627155348002</v>
      </c>
      <c r="G399" s="306">
        <f t="shared" ca="1" si="185"/>
        <v>16.398309106182182</v>
      </c>
      <c r="H399" s="307">
        <f t="shared" ca="1" si="186"/>
        <v>-76.458946941054435</v>
      </c>
      <c r="I399" s="304">
        <f t="shared" ca="1" si="187"/>
        <v>78.197666901748903</v>
      </c>
      <c r="J399" s="306">
        <f t="shared" ca="1" si="188"/>
        <v>541.79884895257567</v>
      </c>
      <c r="K399" s="307">
        <f t="shared" ca="1" si="189"/>
        <v>1521.8491471389714</v>
      </c>
      <c r="L399" s="304">
        <f t="shared" ca="1" si="174"/>
        <v>1615.4166086102837</v>
      </c>
      <c r="M399" s="306">
        <f t="shared" ca="1" si="190"/>
        <v>-1.3595248200593471</v>
      </c>
      <c r="N399" s="304">
        <f t="shared" ca="1" si="191"/>
        <v>-77.895034332683267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4.0843000000000034</v>
      </c>
      <c r="T399" s="304">
        <f t="shared" ca="1" si="175"/>
        <v>40.066983000000036</v>
      </c>
      <c r="U399" s="311">
        <f t="shared" ca="1" si="176"/>
        <v>0</v>
      </c>
      <c r="V399" s="306">
        <f t="shared" ca="1" si="177"/>
        <v>1.0517560382474787</v>
      </c>
      <c r="W399" s="304">
        <f t="shared" ca="1" si="178"/>
        <v>9.3920569367813123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 t="e">
        <f t="shared" ca="1" si="179"/>
        <v>#N/A</v>
      </c>
      <c r="AG399" s="306">
        <f t="shared" ca="1" si="201"/>
        <v>7.3314703174124745</v>
      </c>
      <c r="AH399" s="304">
        <f t="shared" ca="1" si="202"/>
        <v>-2.2548918074120397</v>
      </c>
    </row>
    <row r="400" spans="1:34" x14ac:dyDescent="0.2">
      <c r="A400" s="347">
        <f t="shared" ca="1" si="180"/>
        <v>0.1</v>
      </c>
      <c r="B400" s="304">
        <f t="shared" ca="1" si="181"/>
        <v>28.200000000000102</v>
      </c>
      <c r="D400" s="306">
        <f t="shared" ca="1" si="182"/>
        <v>-0.48222348260743914</v>
      </c>
      <c r="E400" s="307">
        <f t="shared" ca="1" si="183"/>
        <v>-7.5615791761412456</v>
      </c>
      <c r="F400" s="304">
        <f t="shared" ca="1" si="184"/>
        <v>7.5769399578082286</v>
      </c>
      <c r="G400" s="306">
        <f t="shared" ca="1" si="185"/>
        <v>16.350086757921439</v>
      </c>
      <c r="H400" s="307">
        <f t="shared" ca="1" si="186"/>
        <v>-77.215104858668553</v>
      </c>
      <c r="I400" s="304">
        <f t="shared" ca="1" si="187"/>
        <v>78.927167409750226</v>
      </c>
      <c r="J400" s="306">
        <f t="shared" ca="1" si="188"/>
        <v>543.43626874578081</v>
      </c>
      <c r="K400" s="307">
        <f t="shared" ca="1" si="189"/>
        <v>1514.1654445489853</v>
      </c>
      <c r="L400" s="304">
        <f t="shared" ca="1" si="174"/>
        <v>1608.7324114515013</v>
      </c>
      <c r="M400" s="306">
        <f t="shared" ca="1" si="190"/>
        <v>-1.3621312631992624</v>
      </c>
      <c r="N400" s="304">
        <f t="shared" ca="1" si="191"/>
        <v>-78.044372524141238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4.0843000000000034</v>
      </c>
      <c r="T400" s="304">
        <f t="shared" ca="1" si="175"/>
        <v>40.066983000000036</v>
      </c>
      <c r="U400" s="311">
        <f t="shared" ca="1" si="176"/>
        <v>0</v>
      </c>
      <c r="V400" s="306">
        <f t="shared" ca="1" si="177"/>
        <v>1.0525691730313</v>
      </c>
      <c r="W400" s="304">
        <f t="shared" ca="1" si="178"/>
        <v>9.5755072958636624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 t="e">
        <f t="shared" ca="1" si="179"/>
        <v>#N/A</v>
      </c>
      <c r="AG400" s="306">
        <f t="shared" ca="1" si="201"/>
        <v>7.2923241048813896</v>
      </c>
      <c r="AH400" s="304">
        <f t="shared" ca="1" si="202"/>
        <v>-2.2995511928069203</v>
      </c>
    </row>
    <row r="401" spans="1:34" x14ac:dyDescent="0.2">
      <c r="A401" s="347">
        <f t="shared" ca="1" si="180"/>
        <v>0.1</v>
      </c>
      <c r="B401" s="304">
        <f t="shared" ca="1" si="181"/>
        <v>28.300000000000104</v>
      </c>
      <c r="D401" s="306">
        <f t="shared" ca="1" si="182"/>
        <v>-0.48566600097825491</v>
      </c>
      <c r="E401" s="307">
        <f t="shared" ca="1" si="183"/>
        <v>-7.5163882444747596</v>
      </c>
      <c r="F401" s="304">
        <f t="shared" ca="1" si="184"/>
        <v>7.5320623806620572</v>
      </c>
      <c r="G401" s="306">
        <f t="shared" ca="1" si="185"/>
        <v>16.301520157823614</v>
      </c>
      <c r="H401" s="307">
        <f t="shared" ca="1" si="186"/>
        <v>-77.966743683116036</v>
      </c>
      <c r="I401" s="304">
        <f t="shared" ca="1" si="187"/>
        <v>79.652700393675559</v>
      </c>
      <c r="J401" s="306">
        <f t="shared" ca="1" si="188"/>
        <v>545.06884909156804</v>
      </c>
      <c r="K401" s="307">
        <f t="shared" ca="1" si="189"/>
        <v>1506.4063521218961</v>
      </c>
      <c r="L401" s="304">
        <f t="shared" ca="1" si="174"/>
        <v>1601.9863132883515</v>
      </c>
      <c r="M401" s="306">
        <f t="shared" ca="1" si="190"/>
        <v>-1.3646825690165652</v>
      </c>
      <c r="N401" s="304">
        <f t="shared" ca="1" si="191"/>
        <v>-78.190551579719866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4.0843000000000034</v>
      </c>
      <c r="T401" s="304">
        <f t="shared" ca="1" si="175"/>
        <v>40.066983000000036</v>
      </c>
      <c r="U401" s="311">
        <f t="shared" ca="1" si="176"/>
        <v>0</v>
      </c>
      <c r="V401" s="306">
        <f t="shared" ca="1" si="177"/>
        <v>1.0533908756176502</v>
      </c>
      <c r="W401" s="304">
        <f t="shared" ca="1" si="178"/>
        <v>9.7599742371279419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 t="e">
        <f t="shared" ca="1" si="179"/>
        <v>#N/A</v>
      </c>
      <c r="AG401" s="306">
        <f t="shared" ca="1" si="201"/>
        <v>7.252737479256087</v>
      </c>
      <c r="AH401" s="304">
        <f t="shared" ca="1" si="202"/>
        <v>-2.344467178185651</v>
      </c>
    </row>
    <row r="402" spans="1:34" x14ac:dyDescent="0.2">
      <c r="A402" s="347">
        <f t="shared" ca="1" si="180"/>
        <v>0.1</v>
      </c>
      <c r="B402" s="304">
        <f t="shared" ca="1" si="181"/>
        <v>28.400000000000105</v>
      </c>
      <c r="D402" s="306">
        <f t="shared" ca="1" si="182"/>
        <v>-0.4890560528531423</v>
      </c>
      <c r="E402" s="307">
        <f t="shared" ca="1" si="183"/>
        <v>-7.4709477183526634</v>
      </c>
      <c r="F402" s="304">
        <f t="shared" ca="1" si="184"/>
        <v>7.4869376672436081</v>
      </c>
      <c r="G402" s="306">
        <f t="shared" ca="1" si="185"/>
        <v>16.252614552538301</v>
      </c>
      <c r="H402" s="307">
        <f t="shared" ca="1" si="186"/>
        <v>-78.713838454951301</v>
      </c>
      <c r="I402" s="304">
        <f t="shared" ca="1" si="187"/>
        <v>80.374223754295443</v>
      </c>
      <c r="J402" s="306">
        <f t="shared" ca="1" si="188"/>
        <v>546.69655582708617</v>
      </c>
      <c r="K402" s="307">
        <f t="shared" ca="1" si="189"/>
        <v>1498.5723230149927</v>
      </c>
      <c r="L402" s="304">
        <f t="shared" ca="1" si="174"/>
        <v>1595.1790280278103</v>
      </c>
      <c r="M402" s="306">
        <f t="shared" ca="1" si="190"/>
        <v>-1.3671804990454306</v>
      </c>
      <c r="N402" s="304">
        <f t="shared" ca="1" si="191"/>
        <v>-78.33367242789285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4.0843000000000034</v>
      </c>
      <c r="T402" s="304">
        <f t="shared" ca="1" si="175"/>
        <v>40.066983000000036</v>
      </c>
      <c r="U402" s="311">
        <f t="shared" ca="1" si="176"/>
        <v>0</v>
      </c>
      <c r="V402" s="306">
        <f t="shared" ca="1" si="177"/>
        <v>1.0542211158851578</v>
      </c>
      <c r="W402" s="304">
        <f t="shared" ca="1" si="178"/>
        <v>9.9454263426884015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 t="e">
        <f t="shared" ca="1" si="179"/>
        <v>#N/A</v>
      </c>
      <c r="AG402" s="306">
        <f t="shared" ca="1" si="201"/>
        <v>7.2127260705964451</v>
      </c>
      <c r="AH402" s="304">
        <f t="shared" ca="1" si="202"/>
        <v>-2.3896320635428188</v>
      </c>
    </row>
    <row r="403" spans="1:34" x14ac:dyDescent="0.2">
      <c r="A403" s="347">
        <f t="shared" ca="1" si="180"/>
        <v>0.1</v>
      </c>
      <c r="B403" s="304">
        <f t="shared" ca="1" si="181"/>
        <v>28.500000000000107</v>
      </c>
      <c r="D403" s="306">
        <f t="shared" ca="1" si="182"/>
        <v>-0.49239339094186491</v>
      </c>
      <c r="E403" s="307">
        <f t="shared" ca="1" si="183"/>
        <v>-7.4252653035858494</v>
      </c>
      <c r="F403" s="304">
        <f t="shared" ca="1" si="184"/>
        <v>7.441573494905434</v>
      </c>
      <c r="G403" s="306">
        <f t="shared" ca="1" si="185"/>
        <v>16.203375213444115</v>
      </c>
      <c r="H403" s="307">
        <f t="shared" ca="1" si="186"/>
        <v>-79.456364985309889</v>
      </c>
      <c r="I403" s="304">
        <f t="shared" ca="1" si="187"/>
        <v>81.091696893001526</v>
      </c>
      <c r="J403" s="306">
        <f t="shared" ca="1" si="188"/>
        <v>548.31935531538534</v>
      </c>
      <c r="K403" s="307">
        <f t="shared" ca="1" si="189"/>
        <v>1490.6638128429795</v>
      </c>
      <c r="L403" s="304">
        <f t="shared" ca="1" si="174"/>
        <v>1588.3112787904797</v>
      </c>
      <c r="M403" s="306">
        <f t="shared" ca="1" si="190"/>
        <v>-1.3696267414842511</v>
      </c>
      <c r="N403" s="304">
        <f t="shared" ca="1" si="191"/>
        <v>-78.473831795303056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4.0843000000000034</v>
      </c>
      <c r="T403" s="304">
        <f t="shared" ca="1" si="175"/>
        <v>40.066983000000036</v>
      </c>
      <c r="U403" s="311">
        <f t="shared" ca="1" si="176"/>
        <v>0</v>
      </c>
      <c r="V403" s="306">
        <f t="shared" ca="1" si="177"/>
        <v>1.055059863516977</v>
      </c>
      <c r="W403" s="304">
        <f t="shared" ca="1" si="178"/>
        <v>10.131832235223133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 t="e">
        <f t="shared" ca="1" si="179"/>
        <v>#N/A</v>
      </c>
      <c r="AG403" s="306">
        <f t="shared" ca="1" si="201"/>
        <v>7.1723050833148196</v>
      </c>
      <c r="AH403" s="304">
        <f t="shared" ca="1" si="202"/>
        <v>-2.4350381565233685</v>
      </c>
    </row>
    <row r="404" spans="1:34" x14ac:dyDescent="0.2">
      <c r="A404" s="347">
        <f t="shared" ca="1" si="180"/>
        <v>0.1</v>
      </c>
      <c r="B404" s="304">
        <f t="shared" ca="1" si="181"/>
        <v>28.600000000000108</v>
      </c>
      <c r="D404" s="306">
        <f t="shared" ca="1" si="182"/>
        <v>-0.49567778585538297</v>
      </c>
      <c r="E404" s="307">
        <f t="shared" ca="1" si="183"/>
        <v>-7.3793486974641187</v>
      </c>
      <c r="F404" s="304">
        <f t="shared" ca="1" si="184"/>
        <v>7.3959775328320108</v>
      </c>
      <c r="G404" s="306">
        <f t="shared" ca="1" si="185"/>
        <v>16.153807434858578</v>
      </c>
      <c r="H404" s="307">
        <f t="shared" ca="1" si="186"/>
        <v>-80.1942998550563</v>
      </c>
      <c r="I404" s="304">
        <f t="shared" ca="1" si="187"/>
        <v>81.805080672811357</v>
      </c>
      <c r="J404" s="306">
        <f t="shared" ca="1" si="188"/>
        <v>549.93721444780044</v>
      </c>
      <c r="K404" s="307">
        <f t="shared" ca="1" si="189"/>
        <v>1482.6812796009613</v>
      </c>
      <c r="L404" s="304">
        <f t="shared" ca="1" si="174"/>
        <v>1581.3837980432675</v>
      </c>
      <c r="M404" s="306">
        <f t="shared" ca="1" si="190"/>
        <v>-1.372022914903237</v>
      </c>
      <c r="N404" s="304">
        <f t="shared" ca="1" si="191"/>
        <v>-78.611122419192384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4.0843000000000034</v>
      </c>
      <c r="T404" s="304">
        <f t="shared" ca="1" si="175"/>
        <v>40.066983000000036</v>
      </c>
      <c r="U404" s="311">
        <f t="shared" ca="1" si="176"/>
        <v>0</v>
      </c>
      <c r="V404" s="306">
        <f t="shared" ca="1" si="177"/>
        <v>1.0559070880052721</v>
      </c>
      <c r="W404" s="304">
        <f t="shared" ca="1" si="178"/>
        <v>10.319160587183251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 t="e">
        <f t="shared" ca="1" si="199"/>
        <v>#N/A</v>
      </c>
      <c r="AD404" s="323" t="e">
        <f t="shared" ca="1" si="200"/>
        <v>#N/A</v>
      </c>
      <c r="AE404" s="324" t="e">
        <f t="shared" ca="1" si="179"/>
        <v>#N/A</v>
      </c>
      <c r="AG404" s="306">
        <f t="shared" ca="1" si="201"/>
        <v>7.1314893197198055</v>
      </c>
      <c r="AH404" s="304">
        <f t="shared" ca="1" si="202"/>
        <v>-2.4806777747038966</v>
      </c>
    </row>
    <row r="405" spans="1:34" x14ac:dyDescent="0.2">
      <c r="A405" s="347">
        <f t="shared" ca="1" si="180"/>
        <v>0.1</v>
      </c>
      <c r="B405" s="304">
        <f t="shared" ca="1" si="181"/>
        <v>28.700000000000109</v>
      </c>
      <c r="D405" s="306">
        <f t="shared" ca="1" si="182"/>
        <v>-0.49890902577074492</v>
      </c>
      <c r="E405" s="307">
        <f t="shared" ca="1" si="183"/>
        <v>-7.3332055863984378</v>
      </c>
      <c r="F405" s="304">
        <f t="shared" ca="1" si="184"/>
        <v>7.3501574397002392</v>
      </c>
      <c r="G405" s="306">
        <f t="shared" ca="1" si="185"/>
        <v>16.103916532281502</v>
      </c>
      <c r="H405" s="307">
        <f t="shared" ca="1" si="186"/>
        <v>-80.927620413696147</v>
      </c>
      <c r="I405" s="304">
        <f t="shared" ca="1" si="187"/>
        <v>82.514337381463463</v>
      </c>
      <c r="J405" s="306">
        <f t="shared" ca="1" si="188"/>
        <v>551.55010064615749</v>
      </c>
      <c r="K405" s="307">
        <f t="shared" ca="1" si="189"/>
        <v>1474.6251835875237</v>
      </c>
      <c r="L405" s="304">
        <f t="shared" ca="1" si="174"/>
        <v>1574.3973277395146</v>
      </c>
      <c r="M405" s="306">
        <f t="shared" ca="1" si="190"/>
        <v>-1.3743705717335246</v>
      </c>
      <c r="N405" s="304">
        <f t="shared" ca="1" si="191"/>
        <v>-78.745633247312924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4.0843000000000034</v>
      </c>
      <c r="T405" s="304">
        <f t="shared" ca="1" si="175"/>
        <v>40.066983000000036</v>
      </c>
      <c r="U405" s="311">
        <f t="shared" ca="1" si="176"/>
        <v>0</v>
      </c>
      <c r="V405" s="306">
        <f t="shared" ca="1" si="177"/>
        <v>1.0567627586557078</v>
      </c>
      <c r="W405" s="304">
        <f t="shared" ca="1" si="178"/>
        <v>10.507380129889954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 t="e">
        <f t="shared" ca="1" si="179"/>
        <v>#N/A</v>
      </c>
      <c r="AG405" s="306">
        <f t="shared" ca="1" si="201"/>
        <v>7.0902932017689739</v>
      </c>
      <c r="AH405" s="304">
        <f t="shared" ca="1" si="202"/>
        <v>-2.5265432478474263</v>
      </c>
    </row>
    <row r="406" spans="1:34" x14ac:dyDescent="0.2">
      <c r="A406" s="347">
        <f t="shared" ca="1" si="180"/>
        <v>0.1</v>
      </c>
      <c r="B406" s="304">
        <f t="shared" ca="1" si="181"/>
        <v>28.800000000000111</v>
      </c>
      <c r="D406" s="306">
        <f t="shared" ca="1" si="182"/>
        <v>-0.50208691610717215</v>
      </c>
      <c r="E406" s="307">
        <f t="shared" ca="1" si="183"/>
        <v>-7.2868436435973063</v>
      </c>
      <c r="F406" s="304">
        <f t="shared" ca="1" si="184"/>
        <v>7.30412086137411</v>
      </c>
      <c r="G406" s="306">
        <f t="shared" ca="1" si="185"/>
        <v>16.053707840670786</v>
      </c>
      <c r="H406" s="307">
        <f t="shared" ca="1" si="186"/>
        <v>-81.656304778055883</v>
      </c>
      <c r="I406" s="304">
        <f t="shared" ca="1" si="187"/>
        <v>83.219430696444732</v>
      </c>
      <c r="J406" s="306">
        <f t="shared" ca="1" si="188"/>
        <v>553.15798186480515</v>
      </c>
      <c r="K406" s="307">
        <f t="shared" ca="1" si="189"/>
        <v>1466.4959873279361</v>
      </c>
      <c r="L406" s="304">
        <f t="shared" ca="1" si="174"/>
        <v>1567.3526194668773</v>
      </c>
      <c r="M406" s="306">
        <f t="shared" ca="1" si="190"/>
        <v>-1.3766712015523657</v>
      </c>
      <c r="N406" s="304">
        <f t="shared" ca="1" si="191"/>
        <v>-78.877449626154458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4.0843000000000034</v>
      </c>
      <c r="T406" s="304">
        <f t="shared" ca="1" si="175"/>
        <v>40.066983000000036</v>
      </c>
      <c r="U406" s="311">
        <f t="shared" ca="1" si="176"/>
        <v>0</v>
      </c>
      <c r="V406" s="306">
        <f t="shared" ca="1" si="177"/>
        <v>1.0576268445919443</v>
      </c>
      <c r="W406" s="304">
        <f t="shared" ca="1" si="178"/>
        <v>10.696459662515752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 t="e">
        <f t="shared" ca="1" si="179"/>
        <v>#N/A</v>
      </c>
      <c r="AG406" s="306">
        <f t="shared" ca="1" si="201"/>
        <v>7.0487307911741874</v>
      </c>
      <c r="AH406" s="304">
        <f t="shared" ca="1" si="202"/>
        <v>-2.5726269201307312</v>
      </c>
    </row>
    <row r="407" spans="1:34" x14ac:dyDescent="0.2">
      <c r="A407" s="347">
        <f t="shared" ca="1" si="180"/>
        <v>0.1</v>
      </c>
      <c r="B407" s="304">
        <f t="shared" ca="1" si="181"/>
        <v>28.900000000000112</v>
      </c>
      <c r="D407" s="306">
        <f t="shared" ca="1" si="182"/>
        <v>-0.50521127921232423</v>
      </c>
      <c r="E407" s="307">
        <f t="shared" ca="1" si="183"/>
        <v>-7.2402705267776133</v>
      </c>
      <c r="F407" s="304">
        <f t="shared" ca="1" si="184"/>
        <v>7.2578754286339144</v>
      </c>
      <c r="G407" s="306">
        <f t="shared" ca="1" si="185"/>
        <v>16.003186712749553</v>
      </c>
      <c r="H407" s="307">
        <f t="shared" ca="1" si="186"/>
        <v>-82.380331830733638</v>
      </c>
      <c r="I407" s="304">
        <f t="shared" ca="1" si="187"/>
        <v>83.920325651804461</v>
      </c>
      <c r="J407" s="306">
        <f t="shared" ca="1" si="188"/>
        <v>554.76082659247618</v>
      </c>
      <c r="K407" s="307">
        <f t="shared" ca="1" si="189"/>
        <v>1458.2941554974966</v>
      </c>
      <c r="L407" s="304">
        <f t="shared" ca="1" si="174"/>
        <v>1560.2504346032799</v>
      </c>
      <c r="M407" s="306">
        <f t="shared" ca="1" si="190"/>
        <v>-1.3789262341778894</v>
      </c>
      <c r="N407" s="304">
        <f t="shared" ca="1" si="191"/>
        <v>-79.006653478261271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4.0843000000000034</v>
      </c>
      <c r="T407" s="304">
        <f t="shared" ca="1" si="175"/>
        <v>40.066983000000036</v>
      </c>
      <c r="U407" s="311">
        <f t="shared" ca="1" si="176"/>
        <v>0</v>
      </c>
      <c r="V407" s="306">
        <f t="shared" ca="1" si="177"/>
        <v>1.0584993147601378</v>
      </c>
      <c r="W407" s="304">
        <f t="shared" ca="1" si="178"/>
        <v>10.886368060946358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 t="e">
        <f t="shared" ca="1" si="179"/>
        <v>#N/A</v>
      </c>
      <c r="AG407" s="306">
        <f t="shared" ca="1" si="201"/>
        <v>7.0068158079907761</v>
      </c>
      <c r="AH407" s="304">
        <f t="shared" ca="1" si="202"/>
        <v>-2.6189211523433005</v>
      </c>
    </row>
    <row r="408" spans="1:34" x14ac:dyDescent="0.2">
      <c r="A408" s="347">
        <f t="shared" ca="1" si="180"/>
        <v>0.1</v>
      </c>
      <c r="B408" s="304">
        <f t="shared" ca="1" si="181"/>
        <v>29.000000000000114</v>
      </c>
      <c r="D408" s="306">
        <f t="shared" ca="1" si="182"/>
        <v>-0.50828195405784082</v>
      </c>
      <c r="E408" s="307">
        <f t="shared" ca="1" si="183"/>
        <v>-7.1934938759103932</v>
      </c>
      <c r="F408" s="304">
        <f t="shared" ca="1" si="184"/>
        <v>7.2114287549403961</v>
      </c>
      <c r="G408" s="306">
        <f t="shared" ca="1" si="185"/>
        <v>15.95235851734377</v>
      </c>
      <c r="H408" s="307">
        <f t="shared" ca="1" si="186"/>
        <v>-83.099681218324676</v>
      </c>
      <c r="I408" s="304">
        <f t="shared" ca="1" si="187"/>
        <v>84.616988606621149</v>
      </c>
      <c r="J408" s="306">
        <f t="shared" ca="1" si="188"/>
        <v>556.35860385398087</v>
      </c>
      <c r="K408" s="307">
        <f t="shared" ca="1" si="189"/>
        <v>1450.0201548450436</v>
      </c>
      <c r="L408" s="304">
        <f t="shared" ca="1" si="174"/>
        <v>1553.0915444812631</v>
      </c>
      <c r="M408" s="306">
        <f t="shared" ca="1" si="190"/>
        <v>-1.3811370425859473</v>
      </c>
      <c r="N408" s="304">
        <f t="shared" ca="1" si="191"/>
        <v>-79.13332346935502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4.0843000000000034</v>
      </c>
      <c r="T408" s="304">
        <f t="shared" ca="1" si="175"/>
        <v>40.066983000000036</v>
      </c>
      <c r="U408" s="311">
        <f t="shared" ca="1" si="176"/>
        <v>0</v>
      </c>
      <c r="V408" s="306">
        <f t="shared" ca="1" si="177"/>
        <v>1.0593801379334407</v>
      </c>
      <c r="W408" s="304">
        <f t="shared" ca="1" si="178"/>
        <v>11.07707428651976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>
        <f t="shared" ca="1" si="199"/>
        <v>29.000000000000114</v>
      </c>
      <c r="AD408" s="323">
        <f t="shared" ca="1" si="200"/>
        <v>556.35860385398087</v>
      </c>
      <c r="AE408" s="324" t="e">
        <f t="shared" ca="1" si="179"/>
        <v>#N/A</v>
      </c>
      <c r="AG408" s="306">
        <f t="shared" ca="1" si="201"/>
        <v>6.9645616478106742</v>
      </c>
      <c r="AH408" s="304">
        <f t="shared" ca="1" si="202"/>
        <v>-2.6654183240570841</v>
      </c>
    </row>
    <row r="409" spans="1:34" x14ac:dyDescent="0.2">
      <c r="A409" s="347">
        <f t="shared" ca="1" si="180"/>
        <v>0.1</v>
      </c>
      <c r="B409" s="304">
        <f t="shared" ca="1" si="181"/>
        <v>29.100000000000115</v>
      </c>
      <c r="D409" s="306">
        <f t="shared" ca="1" si="182"/>
        <v>-0.5112987959433164</v>
      </c>
      <c r="E409" s="307">
        <f t="shared" ca="1" si="183"/>
        <v>-7.1465213110018766</v>
      </c>
      <c r="F409" s="304">
        <f t="shared" ca="1" si="184"/>
        <v>7.1647884342342634</v>
      </c>
      <c r="G409" s="306">
        <f t="shared" ca="1" si="185"/>
        <v>15.901228637749439</v>
      </c>
      <c r="H409" s="307">
        <f t="shared" ca="1" si="186"/>
        <v>-83.814333349424857</v>
      </c>
      <c r="I409" s="304">
        <f t="shared" ca="1" si="187"/>
        <v>85.309387214998182</v>
      </c>
      <c r="J409" s="306">
        <f t="shared" ca="1" si="188"/>
        <v>557.95128321173547</v>
      </c>
      <c r="K409" s="307">
        <f t="shared" ca="1" si="189"/>
        <v>1441.6744541166561</v>
      </c>
      <c r="L409" s="304">
        <f t="shared" ca="1" si="174"/>
        <v>1545.8767305610691</v>
      </c>
      <c r="M409" s="306">
        <f t="shared" ca="1" si="190"/>
        <v>-1.3833049456606326</v>
      </c>
      <c r="N409" s="304">
        <f t="shared" ca="1" si="191"/>
        <v>-79.257535165927933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4.0843000000000034</v>
      </c>
      <c r="T409" s="304">
        <f t="shared" ca="1" si="175"/>
        <v>40.066983000000036</v>
      </c>
      <c r="U409" s="311">
        <f t="shared" ca="1" si="176"/>
        <v>0</v>
      </c>
      <c r="V409" s="306">
        <f t="shared" ca="1" si="177"/>
        <v>1.0602692827165061</v>
      </c>
      <c r="W409" s="304">
        <f t="shared" ca="1" si="178"/>
        <v>11.268547394639199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 t="e">
        <f t="shared" ca="1" si="179"/>
        <v>#N/A</v>
      </c>
      <c r="AG409" s="306">
        <f t="shared" ca="1" si="201"/>
        <v>6.9219813976695246</v>
      </c>
      <c r="AH409" s="304">
        <f t="shared" ca="1" si="202"/>
        <v>-2.7121108357661661</v>
      </c>
    </row>
    <row r="410" spans="1:34" x14ac:dyDescent="0.2">
      <c r="A410" s="347">
        <f t="shared" ca="1" si="180"/>
        <v>0.1</v>
      </c>
      <c r="B410" s="304">
        <f t="shared" ca="1" si="181"/>
        <v>29.200000000000117</v>
      </c>
      <c r="D410" s="306">
        <f t="shared" ca="1" si="182"/>
        <v>-0.51426167620795926</v>
      </c>
      <c r="E410" s="307">
        <f t="shared" ca="1" si="183"/>
        <v>-7.099360429910254</v>
      </c>
      <c r="F410" s="304">
        <f t="shared" ca="1" si="184"/>
        <v>7.1179620387714717</v>
      </c>
      <c r="G410" s="306">
        <f t="shared" ca="1" si="185"/>
        <v>15.849802470128642</v>
      </c>
      <c r="H410" s="307">
        <f t="shared" ca="1" si="186"/>
        <v>-84.524269392415889</v>
      </c>
      <c r="I410" s="304">
        <f t="shared" ca="1" si="187"/>
        <v>85.99749039747492</v>
      </c>
      <c r="J410" s="306">
        <f t="shared" ca="1" si="188"/>
        <v>559.5388347671294</v>
      </c>
      <c r="K410" s="307">
        <f t="shared" ca="1" si="189"/>
        <v>1433.257523979564</v>
      </c>
      <c r="L410" s="304">
        <f t="shared" ca="1" si="174"/>
        <v>1538.6067846128158</v>
      </c>
      <c r="M410" s="306">
        <f t="shared" ca="1" si="190"/>
        <v>-1.3854312107892397</v>
      </c>
      <c r="N410" s="304">
        <f t="shared" ca="1" si="191"/>
        <v>-79.379361183922953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4.0843000000000034</v>
      </c>
      <c r="T410" s="304">
        <f t="shared" ca="1" si="175"/>
        <v>40.066983000000036</v>
      </c>
      <c r="U410" s="311">
        <f t="shared" ca="1" si="176"/>
        <v>0</v>
      </c>
      <c r="V410" s="306">
        <f t="shared" ca="1" si="177"/>
        <v>1.0611667175499908</v>
      </c>
      <c r="W410" s="304">
        <f t="shared" ca="1" si="178"/>
        <v>11.460756543256888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 t="e">
        <f t="shared" ca="1" si="179"/>
        <v>#N/A</v>
      </c>
      <c r="AG410" s="306">
        <f t="shared" ca="1" si="201"/>
        <v>6.8790878507684958</v>
      </c>
      <c r="AH410" s="304">
        <f t="shared" ca="1" si="202"/>
        <v>-2.758991110995566</v>
      </c>
    </row>
    <row r="411" spans="1:34" x14ac:dyDescent="0.2">
      <c r="A411" s="347">
        <f t="shared" ca="1" si="180"/>
        <v>0.1</v>
      </c>
      <c r="B411" s="304">
        <f t="shared" ca="1" si="181"/>
        <v>29.300000000000118</v>
      </c>
      <c r="D411" s="306">
        <f t="shared" ca="1" si="182"/>
        <v>-0.51717048194922921</v>
      </c>
      <c r="E411" s="307">
        <f t="shared" ca="1" si="183"/>
        <v>-7.0520188061985731</v>
      </c>
      <c r="F411" s="304">
        <f t="shared" ca="1" si="184"/>
        <v>7.0709571169946956</v>
      </c>
      <c r="G411" s="306">
        <f t="shared" ca="1" si="185"/>
        <v>15.798085421933719</v>
      </c>
      <c r="H411" s="307">
        <f t="shared" ca="1" si="186"/>
        <v>-85.229471273035742</v>
      </c>
      <c r="I411" s="304">
        <f t="shared" ca="1" si="187"/>
        <v>86.681268313747807</v>
      </c>
      <c r="J411" s="306">
        <f t="shared" ca="1" si="188"/>
        <v>561.12122916173257</v>
      </c>
      <c r="K411" s="307">
        <f t="shared" ca="1" si="189"/>
        <v>1424.7698369462914</v>
      </c>
      <c r="L411" s="304">
        <f t="shared" ca="1" si="174"/>
        <v>1531.2825089081164</v>
      </c>
      <c r="M411" s="306">
        <f t="shared" ca="1" si="190"/>
        <v>-1.3875170563116468</v>
      </c>
      <c r="N411" s="304">
        <f t="shared" ca="1" si="191"/>
        <v>-79.49887132907314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4.0843000000000034</v>
      </c>
      <c r="T411" s="304">
        <f t="shared" ca="1" si="175"/>
        <v>40.066983000000036</v>
      </c>
      <c r="U411" s="311">
        <f t="shared" ca="1" si="176"/>
        <v>0</v>
      </c>
      <c r="V411" s="306">
        <f t="shared" ca="1" si="177"/>
        <v>1.0620724107150574</v>
      </c>
      <c r="W411" s="304">
        <f t="shared" ca="1" si="178"/>
        <v>11.653671001225378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 t="e">
        <f t="shared" ca="1" si="179"/>
        <v>#N/A</v>
      </c>
      <c r="AG411" s="306">
        <f t="shared" ca="1" si="201"/>
        <v>6.8358935201031867</v>
      </c>
      <c r="AH411" s="304">
        <f t="shared" ca="1" si="202"/>
        <v>-2.8060515983783949</v>
      </c>
    </row>
    <row r="412" spans="1:34" x14ac:dyDescent="0.2">
      <c r="A412" s="347">
        <f t="shared" ca="1" si="180"/>
        <v>0.1</v>
      </c>
      <c r="B412" s="304">
        <f t="shared" ca="1" si="181"/>
        <v>29.400000000000119</v>
      </c>
      <c r="D412" s="306">
        <f t="shared" ca="1" si="182"/>
        <v>-0.52002511574782417</v>
      </c>
      <c r="E412" s="307">
        <f t="shared" ca="1" si="183"/>
        <v>-7.0045039870241919</v>
      </c>
      <c r="F412" s="304">
        <f t="shared" ca="1" si="184"/>
        <v>7.0237811914414259</v>
      </c>
      <c r="G412" s="306">
        <f t="shared" ca="1" si="185"/>
        <v>15.746082910358936</v>
      </c>
      <c r="H412" s="307">
        <f t="shared" ca="1" si="186"/>
        <v>-85.929921671738157</v>
      </c>
      <c r="I412" s="304">
        <f t="shared" ca="1" si="187"/>
        <v>87.360692336604984</v>
      </c>
      <c r="J412" s="306">
        <f t="shared" ca="1" si="188"/>
        <v>562.69843757834724</v>
      </c>
      <c r="K412" s="307">
        <f t="shared" ca="1" si="189"/>
        <v>1416.2118672990528</v>
      </c>
      <c r="L412" s="304">
        <f t="shared" ca="1" si="174"/>
        <v>1523.9047164215297</v>
      </c>
      <c r="M412" s="306">
        <f t="shared" ca="1" si="190"/>
        <v>-1.3895636538333977</v>
      </c>
      <c r="N412" s="304">
        <f t="shared" ca="1" si="191"/>
        <v>-79.616132729431413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4.0843000000000034</v>
      </c>
      <c r="T412" s="304">
        <f t="shared" ca="1" si="175"/>
        <v>40.066983000000036</v>
      </c>
      <c r="U412" s="311">
        <f t="shared" ca="1" si="176"/>
        <v>0</v>
      </c>
      <c r="V412" s="306">
        <f t="shared" ca="1" si="177"/>
        <v>1.0629863303378744</v>
      </c>
      <c r="W412" s="304">
        <f t="shared" ca="1" si="178"/>
        <v>11.847260156513791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 t="e">
        <f t="shared" ca="1" si="179"/>
        <v>#N/A</v>
      </c>
      <c r="AG412" s="306">
        <f t="shared" ca="1" si="201"/>
        <v>6.7924106510844267</v>
      </c>
      <c r="AH412" s="304">
        <f t="shared" ca="1" si="202"/>
        <v>-2.8532847737006017</v>
      </c>
    </row>
    <row r="413" spans="1:34" x14ac:dyDescent="0.2">
      <c r="A413" s="347">
        <f t="shared" ca="1" si="180"/>
        <v>0.1</v>
      </c>
      <c r="B413" s="304">
        <f t="shared" ca="1" si="181"/>
        <v>29.500000000000121</v>
      </c>
      <c r="D413" s="306">
        <f t="shared" ca="1" si="182"/>
        <v>-0.52282549539844703</v>
      </c>
      <c r="E413" s="307">
        <f t="shared" ca="1" si="183"/>
        <v>-6.9568234910651725</v>
      </c>
      <c r="F413" s="304">
        <f t="shared" ca="1" si="184"/>
        <v>6.9764417566890673</v>
      </c>
      <c r="G413" s="306">
        <f t="shared" ca="1" si="185"/>
        <v>15.693800360819091</v>
      </c>
      <c r="H413" s="307">
        <f t="shared" ca="1" si="186"/>
        <v>-86.625604020844676</v>
      </c>
      <c r="I413" s="304">
        <f t="shared" ca="1" si="187"/>
        <v>88.035735026984511</v>
      </c>
      <c r="J413" s="306">
        <f t="shared" ca="1" si="188"/>
        <v>564.27043174190612</v>
      </c>
      <c r="K413" s="307">
        <f t="shared" ca="1" si="189"/>
        <v>1407.5840910144236</v>
      </c>
      <c r="L413" s="304">
        <f t="shared" ca="1" si="174"/>
        <v>1516.4742310422218</v>
      </c>
      <c r="M413" s="306">
        <f t="shared" ca="1" si="190"/>
        <v>-1.3915721304111053</v>
      </c>
      <c r="N413" s="304">
        <f t="shared" ca="1" si="191"/>
        <v>-79.731209960584934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4.0843000000000034</v>
      </c>
      <c r="T413" s="304">
        <f t="shared" ca="1" si="175"/>
        <v>40.066983000000036</v>
      </c>
      <c r="U413" s="311">
        <f t="shared" ca="1" si="176"/>
        <v>0</v>
      </c>
      <c r="V413" s="306">
        <f t="shared" ca="1" si="177"/>
        <v>1.0639084443941136</v>
      </c>
      <c r="W413" s="304">
        <f t="shared" ca="1" si="178"/>
        <v>12.041493524285976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 t="e">
        <f t="shared" ca="1" si="179"/>
        <v>#N/A</v>
      </c>
      <c r="AG413" s="306">
        <f t="shared" ca="1" si="201"/>
        <v>6.7486512332287303</v>
      </c>
      <c r="AH413" s="304">
        <f t="shared" ca="1" si="202"/>
        <v>-2.9006831419126362</v>
      </c>
    </row>
    <row r="414" spans="1:34" x14ac:dyDescent="0.2">
      <c r="A414" s="347">
        <f t="shared" ca="1" si="180"/>
        <v>0.1</v>
      </c>
      <c r="B414" s="304">
        <f t="shared" ca="1" si="181"/>
        <v>29.600000000000122</v>
      </c>
      <c r="D414" s="306">
        <f t="shared" ca="1" si="182"/>
        <v>-0.52557155364581132</v>
      </c>
      <c r="E414" s="307">
        <f t="shared" ca="1" si="183"/>
        <v>-6.9089848064840567</v>
      </c>
      <c r="F414" s="304">
        <f t="shared" ca="1" si="184"/>
        <v>6.9289462773375003</v>
      </c>
      <c r="G414" s="306">
        <f t="shared" ca="1" si="185"/>
        <v>15.64124320545451</v>
      </c>
      <c r="H414" s="307">
        <f t="shared" ca="1" si="186"/>
        <v>-87.316502501493076</v>
      </c>
      <c r="I414" s="304">
        <f t="shared" ca="1" si="187"/>
        <v>88.706370110073962</v>
      </c>
      <c r="J414" s="306">
        <f t="shared" ca="1" si="188"/>
        <v>565.83718392021979</v>
      </c>
      <c r="K414" s="307">
        <f t="shared" ca="1" si="189"/>
        <v>1398.8869856883068</v>
      </c>
      <c r="L414" s="304">
        <f t="shared" ca="1" si="174"/>
        <v>1508.9918877962471</v>
      </c>
      <c r="M414" s="306">
        <f t="shared" ca="1" si="190"/>
        <v>-1.3935435706181856</v>
      </c>
      <c r="N414" s="304">
        <f t="shared" ca="1" si="191"/>
        <v>-79.84416516401302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4.0843000000000034</v>
      </c>
      <c r="T414" s="304">
        <f t="shared" ca="1" si="175"/>
        <v>40.066983000000036</v>
      </c>
      <c r="U414" s="311">
        <f t="shared" ca="1" si="176"/>
        <v>0</v>
      </c>
      <c r="V414" s="306">
        <f t="shared" ca="1" si="177"/>
        <v>1.0648387207134404</v>
      </c>
      <c r="W414" s="304">
        <f t="shared" ca="1" si="178"/>
        <v>12.236340754838023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 t="e">
        <f t="shared" ca="1" si="199"/>
        <v>#N/A</v>
      </c>
      <c r="AD414" s="323" t="e">
        <f t="shared" ca="1" si="200"/>
        <v>#N/A</v>
      </c>
      <c r="AE414" s="324" t="e">
        <f t="shared" ca="1" si="179"/>
        <v>#N/A</v>
      </c>
      <c r="AG414" s="306">
        <f t="shared" ca="1" si="201"/>
        <v>6.7046270109899808</v>
      </c>
      <c r="AH414" s="304">
        <f t="shared" ca="1" si="202"/>
        <v>-2.9482392391073051</v>
      </c>
    </row>
    <row r="415" spans="1:34" x14ac:dyDescent="0.2">
      <c r="A415" s="347">
        <f t="shared" ca="1" si="180"/>
        <v>0.1</v>
      </c>
      <c r="B415" s="304">
        <f t="shared" ca="1" si="181"/>
        <v>29.700000000000124</v>
      </c>
      <c r="D415" s="306">
        <f t="shared" ca="1" si="182"/>
        <v>-0.5282632379254214</v>
      </c>
      <c r="E415" s="307">
        <f t="shared" ca="1" si="183"/>
        <v>-6.8609953889294104</v>
      </c>
      <c r="F415" s="304">
        <f t="shared" ca="1" si="184"/>
        <v>6.8813021860294787</v>
      </c>
      <c r="G415" s="306">
        <f t="shared" ca="1" si="185"/>
        <v>15.588416881661967</v>
      </c>
      <c r="H415" s="307">
        <f t="shared" ca="1" si="186"/>
        <v>-88.002602040386023</v>
      </c>
      <c r="I415" s="304">
        <f t="shared" ca="1" si="187"/>
        <v>89.37257245237511</v>
      </c>
      <c r="J415" s="306">
        <f t="shared" ca="1" si="188"/>
        <v>567.39866692457565</v>
      </c>
      <c r="K415" s="307">
        <f t="shared" ca="1" si="189"/>
        <v>1390.121030461213</v>
      </c>
      <c r="L415" s="304">
        <f t="shared" ca="1" si="174"/>
        <v>1501.4585330798616</v>
      </c>
      <c r="M415" s="306">
        <f t="shared" ca="1" si="190"/>
        <v>-1.3954790184983807</v>
      </c>
      <c r="N415" s="304">
        <f t="shared" ca="1" si="191"/>
        <v>-79.955058159015749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4.0843000000000034</v>
      </c>
      <c r="T415" s="304">
        <f t="shared" ca="1" si="175"/>
        <v>40.066983000000036</v>
      </c>
      <c r="U415" s="311">
        <f t="shared" ca="1" si="176"/>
        <v>0</v>
      </c>
      <c r="V415" s="306">
        <f t="shared" ca="1" si="177"/>
        <v>1.0657771269840011</v>
      </c>
      <c r="W415" s="304">
        <f t="shared" ca="1" si="178"/>
        <v>12.431771641392688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 t="e">
        <f t="shared" ca="1" si="179"/>
        <v>#N/A</v>
      </c>
      <c r="AG415" s="306">
        <f t="shared" ca="1" si="201"/>
        <v>6.6603494937980638</v>
      </c>
      <c r="AH415" s="304">
        <f t="shared" ca="1" si="202"/>
        <v>-2.9959456344631916</v>
      </c>
    </row>
    <row r="416" spans="1:34" x14ac:dyDescent="0.2">
      <c r="A416" s="347">
        <f t="shared" ca="1" si="180"/>
        <v>0.1</v>
      </c>
      <c r="B416" s="304">
        <f t="shared" ca="1" si="181"/>
        <v>29.800000000000125</v>
      </c>
      <c r="D416" s="306">
        <f t="shared" ca="1" si="182"/>
        <v>-0.53090051010868822</v>
      </c>
      <c r="E416" s="307">
        <f t="shared" ca="1" si="183"/>
        <v>-6.8128626595754938</v>
      </c>
      <c r="F416" s="304">
        <f t="shared" ca="1" si="184"/>
        <v>6.8335168815092375</v>
      </c>
      <c r="G416" s="306">
        <f t="shared" ca="1" si="185"/>
        <v>15.535326830651098</v>
      </c>
      <c r="H416" s="307">
        <f t="shared" ca="1" si="186"/>
        <v>-88.683888306343576</v>
      </c>
      <c r="I416" s="304">
        <f t="shared" ca="1" si="187"/>
        <v>90.034318039662921</v>
      </c>
      <c r="J416" s="306">
        <f t="shared" ca="1" si="188"/>
        <v>568.95485411019126</v>
      </c>
      <c r="K416" s="307">
        <f t="shared" ca="1" si="189"/>
        <v>1381.2867059438765</v>
      </c>
      <c r="L416" s="304">
        <f t="shared" ca="1" si="174"/>
        <v>1493.8750249043037</v>
      </c>
      <c r="M416" s="306">
        <f t="shared" ca="1" si="190"/>
        <v>-1.3973794794140058</v>
      </c>
      <c r="N416" s="304">
        <f t="shared" ca="1" si="191"/>
        <v>-80.06394654861063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4.0843000000000034</v>
      </c>
      <c r="T416" s="304">
        <f t="shared" ca="1" si="175"/>
        <v>40.066983000000036</v>
      </c>
      <c r="U416" s="311">
        <f t="shared" ca="1" si="176"/>
        <v>0</v>
      </c>
      <c r="V416" s="306">
        <f t="shared" ca="1" si="177"/>
        <v>1.066723630756903</v>
      </c>
      <c r="W416" s="304">
        <f t="shared" ca="1" si="178"/>
        <v>12.627756127748185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 t="e">
        <f t="shared" ca="1" si="179"/>
        <v>#N/A</v>
      </c>
      <c r="AG416" s="306">
        <f t="shared" ca="1" si="201"/>
        <v>6.6158299653648784</v>
      </c>
      <c r="AH416" s="304">
        <f t="shared" ca="1" si="202"/>
        <v>-3.0437949321530438</v>
      </c>
    </row>
    <row r="417" spans="1:34" x14ac:dyDescent="0.2">
      <c r="A417" s="347">
        <f t="shared" ca="1" si="180"/>
        <v>0.1</v>
      </c>
      <c r="B417" s="304">
        <f t="shared" ca="1" si="181"/>
        <v>29.900000000000126</v>
      </c>
      <c r="D417" s="306">
        <f t="shared" ca="1" si="182"/>
        <v>-0.5334833462519839</v>
      </c>
      <c r="E417" s="307">
        <f t="shared" ca="1" si="183"/>
        <v>-6.7645940032004779</v>
      </c>
      <c r="F417" s="304">
        <f t="shared" ca="1" si="184"/>
        <v>6.7855977267197378</v>
      </c>
      <c r="G417" s="306">
        <f t="shared" ca="1" si="185"/>
        <v>15.481978496025899</v>
      </c>
      <c r="H417" s="307">
        <f t="shared" ca="1" si="186"/>
        <v>-89.360347706663617</v>
      </c>
      <c r="I417" s="304">
        <f t="shared" ca="1" si="187"/>
        <v>90.691583955774149</v>
      </c>
      <c r="J417" s="306">
        <f t="shared" ca="1" si="188"/>
        <v>570.50571937652512</v>
      </c>
      <c r="K417" s="307">
        <f t="shared" ca="1" si="189"/>
        <v>1372.3844941432262</v>
      </c>
      <c r="L417" s="304">
        <f t="shared" ca="1" si="174"/>
        <v>1486.2422331524849</v>
      </c>
      <c r="M417" s="306">
        <f t="shared" ca="1" si="190"/>
        <v>-1.3992459217953801</v>
      </c>
      <c r="N417" s="304">
        <f t="shared" ca="1" si="191"/>
        <v>-80.170885819767733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4.0843000000000034</v>
      </c>
      <c r="T417" s="304">
        <f t="shared" ca="1" si="175"/>
        <v>40.066983000000036</v>
      </c>
      <c r="U417" s="311">
        <f t="shared" ca="1" si="176"/>
        <v>0</v>
      </c>
      <c r="V417" s="306">
        <f t="shared" ca="1" si="177"/>
        <v>1.0676781994506837</v>
      </c>
      <c r="W417" s="304">
        <f t="shared" ca="1" si="178"/>
        <v>12.824264315779189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 t="e">
        <f t="shared" ca="1" si="179"/>
        <v>#N/A</v>
      </c>
      <c r="AG417" s="306">
        <f t="shared" ca="1" si="201"/>
        <v>6.5710794923134825</v>
      </c>
      <c r="AH417" s="304">
        <f t="shared" ca="1" si="202"/>
        <v>-3.0917797732165058</v>
      </c>
    </row>
    <row r="418" spans="1:34" x14ac:dyDescent="0.2">
      <c r="A418" s="347">
        <f t="shared" ca="1" si="180"/>
        <v>0.1</v>
      </c>
      <c r="B418" s="304">
        <f t="shared" ca="1" si="181"/>
        <v>30.000000000000128</v>
      </c>
      <c r="D418" s="306">
        <f t="shared" ca="1" si="182"/>
        <v>-0.53601173634927846</v>
      </c>
      <c r="E418" s="307">
        <f t="shared" ca="1" si="183"/>
        <v>-6.7161967663035398</v>
      </c>
      <c r="F418" s="304">
        <f t="shared" ca="1" si="184"/>
        <v>6.7375520469388803</v>
      </c>
      <c r="G418" s="306">
        <f t="shared" ca="1" si="185"/>
        <v>15.428377322390972</v>
      </c>
      <c r="H418" s="307">
        <f t="shared" ca="1" si="186"/>
        <v>-90.031967383293974</v>
      </c>
      <c r="I418" s="304">
        <f t="shared" ca="1" si="187"/>
        <v>91.344348362165121</v>
      </c>
      <c r="J418" s="306">
        <f t="shared" ca="1" si="188"/>
        <v>572.05123716744595</v>
      </c>
      <c r="K418" s="307">
        <f t="shared" ca="1" si="189"/>
        <v>1363.4148783887283</v>
      </c>
      <c r="L418" s="304">
        <f t="shared" ca="1" si="174"/>
        <v>1478.561039848053</v>
      </c>
      <c r="M418" s="306">
        <f t="shared" ca="1" si="190"/>
        <v>-1.4010792787974637</v>
      </c>
      <c r="N418" s="304">
        <f t="shared" ca="1" si="191"/>
        <v>-80.275929438327879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4.0843000000000034</v>
      </c>
      <c r="T418" s="304">
        <f t="shared" ca="1" si="175"/>
        <v>40.066983000000036</v>
      </c>
      <c r="U418" s="311">
        <f t="shared" ca="1" si="176"/>
        <v>0</v>
      </c>
      <c r="V418" s="306">
        <f t="shared" ca="1" si="177"/>
        <v>1.0686408003557752</v>
      </c>
      <c r="W418" s="304">
        <f t="shared" ca="1" si="178"/>
        <v>13.02126647278798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>
        <f t="shared" ca="1" si="199"/>
        <v>30.000000000000128</v>
      </c>
      <c r="AD418" s="323">
        <f t="shared" ca="1" si="200"/>
        <v>572.05123716744595</v>
      </c>
      <c r="AE418" s="324" t="e">
        <f t="shared" ca="1" si="179"/>
        <v>#N/A</v>
      </c>
      <c r="AG418" s="306">
        <f t="shared" ca="1" si="201"/>
        <v>6.5261089321816215</v>
      </c>
      <c r="AH418" s="304">
        <f t="shared" ca="1" si="202"/>
        <v>-3.1398928373966601</v>
      </c>
    </row>
    <row r="419" spans="1:34" x14ac:dyDescent="0.2">
      <c r="A419" s="347">
        <f t="shared" ca="1" si="180"/>
        <v>0.1</v>
      </c>
      <c r="B419" s="304">
        <f t="shared" ca="1" si="181"/>
        <v>30.100000000000129</v>
      </c>
      <c r="D419" s="306">
        <f t="shared" ca="1" si="182"/>
        <v>-0.53848568408803632</v>
      </c>
      <c r="E419" s="307">
        <f t="shared" ca="1" si="183"/>
        <v>-6.6676782552611549</v>
      </c>
      <c r="F419" s="304">
        <f t="shared" ca="1" si="184"/>
        <v>6.6893871279550119</v>
      </c>
      <c r="G419" s="306">
        <f t="shared" ca="1" si="185"/>
        <v>15.374528753982169</v>
      </c>
      <c r="H419" s="307">
        <f t="shared" ca="1" si="186"/>
        <v>-90.698735208820096</v>
      </c>
      <c r="I419" s="304">
        <f t="shared" ca="1" si="187"/>
        <v>91.992590478183004</v>
      </c>
      <c r="J419" s="306">
        <f t="shared" ca="1" si="188"/>
        <v>573.59138247126464</v>
      </c>
      <c r="K419" s="307">
        <f t="shared" ca="1" si="189"/>
        <v>1354.3783432591226</v>
      </c>
      <c r="L419" s="304">
        <f t="shared" ca="1" si="174"/>
        <v>1470.8323394373074</v>
      </c>
      <c r="M419" s="306">
        <f t="shared" ca="1" si="190"/>
        <v>-1.4028804498693039</v>
      </c>
      <c r="N419" s="304">
        <f t="shared" ca="1" si="191"/>
        <v>-80.379128938925376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4.0843000000000034</v>
      </c>
      <c r="T419" s="304">
        <f t="shared" ca="1" si="175"/>
        <v>40.066983000000036</v>
      </c>
      <c r="U419" s="311">
        <f t="shared" ca="1" si="176"/>
        <v>0</v>
      </c>
      <c r="V419" s="306">
        <f t="shared" ca="1" si="177"/>
        <v>1.0696114006389559</v>
      </c>
      <c r="W419" s="304">
        <f t="shared" ca="1" si="178"/>
        <v>13.218733038703556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 t="e">
        <f t="shared" ca="1" si="179"/>
        <v>#N/A</v>
      </c>
      <c r="AG419" s="306">
        <f t="shared" ca="1" si="201"/>
        <v>6.4809289408468747</v>
      </c>
      <c r="AH419" s="304">
        <f t="shared" ca="1" si="202"/>
        <v>-3.1881268449398843</v>
      </c>
    </row>
    <row r="420" spans="1:34" x14ac:dyDescent="0.2">
      <c r="A420" s="347">
        <f t="shared" ca="1" si="180"/>
        <v>0.1</v>
      </c>
      <c r="B420" s="304">
        <f t="shared" ca="1" si="181"/>
        <v>30.200000000000131</v>
      </c>
      <c r="D420" s="306">
        <f t="shared" ca="1" si="182"/>
        <v>-0.54090520660808117</v>
      </c>
      <c r="E420" s="307">
        <f t="shared" ca="1" si="183"/>
        <v>-6.6190457345229792</v>
      </c>
      <c r="F420" s="304">
        <f t="shared" ca="1" si="184"/>
        <v>6.6411102142821399</v>
      </c>
      <c r="G420" s="306">
        <f t="shared" ca="1" si="185"/>
        <v>15.320438233321362</v>
      </c>
      <c r="H420" s="307">
        <f t="shared" ca="1" si="186"/>
        <v>-91.360639782272401</v>
      </c>
      <c r="I420" s="304">
        <f t="shared" ca="1" si="187"/>
        <v>92.636290561999246</v>
      </c>
      <c r="J420" s="306">
        <f t="shared" ca="1" si="188"/>
        <v>575.12613082062978</v>
      </c>
      <c r="K420" s="307">
        <f t="shared" ca="1" si="189"/>
        <v>1345.2753745095681</v>
      </c>
      <c r="L420" s="304">
        <f t="shared" ca="1" si="174"/>
        <v>1463.0570390844532</v>
      </c>
      <c r="M420" s="306">
        <f t="shared" ca="1" si="190"/>
        <v>-1.4046503022415291</v>
      </c>
      <c r="N420" s="304">
        <f t="shared" ca="1" si="191"/>
        <v>-80.480534010215095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4.0843000000000034</v>
      </c>
      <c r="T420" s="304">
        <f t="shared" ca="1" si="175"/>
        <v>40.066983000000036</v>
      </c>
      <c r="U420" s="311">
        <f t="shared" ca="1" si="176"/>
        <v>0</v>
      </c>
      <c r="V420" s="306">
        <f t="shared" ca="1" si="177"/>
        <v>1.0705899673477899</v>
      </c>
      <c r="W420" s="304">
        <f t="shared" ca="1" si="178"/>
        <v>13.416634633127025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 t="e">
        <f t="shared" ca="1" si="179"/>
        <v>#N/A</v>
      </c>
      <c r="AG420" s="306">
        <f t="shared" ca="1" si="201"/>
        <v>6.4355499794170887</v>
      </c>
      <c r="AH420" s="304">
        <f t="shared" ca="1" si="202"/>
        <v>-3.2364745583584815</v>
      </c>
    </row>
    <row r="421" spans="1:34" x14ac:dyDescent="0.2">
      <c r="A421" s="347">
        <f t="shared" ca="1" si="180"/>
        <v>0.1</v>
      </c>
      <c r="B421" s="304">
        <f t="shared" ca="1" si="181"/>
        <v>30.300000000000132</v>
      </c>
      <c r="D421" s="306">
        <f t="shared" ca="1" si="182"/>
        <v>-0.54327033426315863</v>
      </c>
      <c r="E421" s="307">
        <f t="shared" ca="1" si="183"/>
        <v>-6.5703064248475513</v>
      </c>
      <c r="F421" s="304">
        <f t="shared" ca="1" si="184"/>
        <v>6.5927285074150763</v>
      </c>
      <c r="G421" s="306">
        <f t="shared" ca="1" si="185"/>
        <v>15.266111199895045</v>
      </c>
      <c r="H421" s="307">
        <f t="shared" ca="1" si="186"/>
        <v>-92.017670424757156</v>
      </c>
      <c r="I421" s="304">
        <f t="shared" ca="1" si="187"/>
        <v>93.27542989215749</v>
      </c>
      <c r="J421" s="306">
        <f t="shared" ca="1" si="188"/>
        <v>576.65545829229063</v>
      </c>
      <c r="K421" s="307">
        <f t="shared" ca="1" si="189"/>
        <v>1336.1064589992166</v>
      </c>
      <c r="L421" s="304">
        <f t="shared" ca="1" si="174"/>
        <v>1455.2360589807129</v>
      </c>
      <c r="M421" s="306">
        <f t="shared" ca="1" si="190"/>
        <v>-1.4063896723367686</v>
      </c>
      <c r="N421" s="304">
        <f t="shared" ca="1" si="191"/>
        <v>-80.580192575683583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4.0843000000000034</v>
      </c>
      <c r="T421" s="304">
        <f t="shared" ca="1" si="175"/>
        <v>40.066983000000036</v>
      </c>
      <c r="U421" s="311">
        <f t="shared" ca="1" si="176"/>
        <v>0</v>
      </c>
      <c r="V421" s="306">
        <f t="shared" ca="1" si="177"/>
        <v>1.071576467415057</v>
      </c>
      <c r="W421" s="304">
        <f t="shared" ca="1" si="178"/>
        <v>13.614942062221429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 t="e">
        <f t="shared" ca="1" si="179"/>
        <v>#N/A</v>
      </c>
      <c r="AG421" s="306">
        <f t="shared" ca="1" si="201"/>
        <v>6.3899823206262614</v>
      </c>
      <c r="AH421" s="304">
        <f t="shared" ca="1" si="202"/>
        <v>-3.2849287841556727</v>
      </c>
    </row>
    <row r="422" spans="1:34" x14ac:dyDescent="0.2">
      <c r="A422" s="347">
        <f t="shared" ca="1" si="180"/>
        <v>0.1</v>
      </c>
      <c r="B422" s="304">
        <f t="shared" ca="1" si="181"/>
        <v>30.400000000000134</v>
      </c>
      <c r="D422" s="306">
        <f t="shared" ca="1" si="182"/>
        <v>-0.54558111038496282</v>
      </c>
      <c r="E422" s="307">
        <f t="shared" ca="1" si="183"/>
        <v>-6.5214675015781545</v>
      </c>
      <c r="F422" s="304">
        <f t="shared" ca="1" si="184"/>
        <v>6.5442491641248584</v>
      </c>
      <c r="G422" s="306">
        <f t="shared" ca="1" si="185"/>
        <v>15.211553088856549</v>
      </c>
      <c r="H422" s="307">
        <f t="shared" ca="1" si="186"/>
        <v>-92.669817174914968</v>
      </c>
      <c r="I422" s="304">
        <f t="shared" ca="1" si="187"/>
        <v>93.90999074969217</v>
      </c>
      <c r="J422" s="306">
        <f t="shared" ca="1" si="188"/>
        <v>578.17934150672818</v>
      </c>
      <c r="K422" s="307">
        <f t="shared" ca="1" si="189"/>
        <v>1326.872084619233</v>
      </c>
      <c r="L422" s="304">
        <f t="shared" ca="1" si="174"/>
        <v>1447.3703326678153</v>
      </c>
      <c r="M422" s="306">
        <f t="shared" ca="1" si="190"/>
        <v>-1.4080993671075548</v>
      </c>
      <c r="N422" s="304">
        <f t="shared" ca="1" si="191"/>
        <v>-80.678150870305217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4.0843000000000034</v>
      </c>
      <c r="T422" s="304">
        <f t="shared" ca="1" si="175"/>
        <v>40.066983000000036</v>
      </c>
      <c r="U422" s="311">
        <f t="shared" ca="1" si="176"/>
        <v>0</v>
      </c>
      <c r="V422" s="306">
        <f t="shared" ca="1" si="177"/>
        <v>1.0725708676631676</v>
      </c>
      <c r="W422" s="304">
        <f t="shared" ca="1" si="178"/>
        <v>13.813626325444508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 t="e">
        <f t="shared" ca="1" si="179"/>
        <v>#N/A</v>
      </c>
      <c r="AG422" s="306">
        <f t="shared" ca="1" si="201"/>
        <v>6.3442360547730772</v>
      </c>
      <c r="AH422" s="304">
        <f t="shared" ca="1" si="202"/>
        <v>-3.3334823745125033</v>
      </c>
    </row>
    <row r="423" spans="1:34" x14ac:dyDescent="0.2">
      <c r="A423" s="347">
        <f t="shared" ca="1" si="180"/>
        <v>0.1</v>
      </c>
      <c r="B423" s="304">
        <f t="shared" ca="1" si="181"/>
        <v>30.500000000000135</v>
      </c>
      <c r="D423" s="306">
        <f t="shared" ca="1" si="182"/>
        <v>-0.54783759104942154</v>
      </c>
      <c r="E423" s="307">
        <f t="shared" ca="1" si="183"/>
        <v>-6.4725360929590714</v>
      </c>
      <c r="F423" s="304">
        <f t="shared" ca="1" si="184"/>
        <v>6.4956792947947113</v>
      </c>
      <c r="G423" s="306">
        <f t="shared" ca="1" si="185"/>
        <v>15.156769329751606</v>
      </c>
      <c r="H423" s="307">
        <f t="shared" ca="1" si="186"/>
        <v>-93.31707078421087</v>
      </c>
      <c r="I423" s="304">
        <f t="shared" ca="1" si="187"/>
        <v>94.539956400776504</v>
      </c>
      <c r="J423" s="306">
        <f t="shared" ca="1" si="188"/>
        <v>579.69775762765858</v>
      </c>
      <c r="K423" s="307">
        <f t="shared" ca="1" si="189"/>
        <v>1317.5727402212767</v>
      </c>
      <c r="L423" s="304">
        <f t="shared" ca="1" si="174"/>
        <v>1439.4608073764077</v>
      </c>
      <c r="M423" s="306">
        <f t="shared" ca="1" si="190"/>
        <v>-1.4097801653059665</v>
      </c>
      <c r="N423" s="304">
        <f t="shared" ca="1" si="191"/>
        <v>-80.774453513287412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4.0843000000000034</v>
      </c>
      <c r="T423" s="304">
        <f t="shared" ca="1" si="175"/>
        <v>40.066983000000036</v>
      </c>
      <c r="U423" s="311">
        <f t="shared" ca="1" si="176"/>
        <v>0</v>
      </c>
      <c r="V423" s="306">
        <f t="shared" ca="1" si="177"/>
        <v>1.0735731348085638</v>
      </c>
      <c r="W423" s="304">
        <f t="shared" ca="1" si="178"/>
        <v>14.0126586221227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 t="e">
        <f t="shared" ca="1" si="179"/>
        <v>#N/A</v>
      </c>
      <c r="AG423" s="306">
        <f t="shared" ca="1" si="201"/>
        <v>6.2983210952363429</v>
      </c>
      <c r="AH423" s="304">
        <f t="shared" ca="1" si="202"/>
        <v>-3.3821282289362919</v>
      </c>
    </row>
    <row r="424" spans="1:34" x14ac:dyDescent="0.2">
      <c r="A424" s="347">
        <f t="shared" ca="1" si="180"/>
        <v>0.1</v>
      </c>
      <c r="B424" s="304">
        <f t="shared" ca="1" si="181"/>
        <v>30.600000000000136</v>
      </c>
      <c r="D424" s="306">
        <f t="shared" ca="1" si="182"/>
        <v>-0.55003984484502721</v>
      </c>
      <c r="E424" s="307">
        <f t="shared" ca="1" si="183"/>
        <v>-6.4235192784925133</v>
      </c>
      <c r="F424" s="304">
        <f t="shared" ca="1" si="184"/>
        <v>6.4470259617968129</v>
      </c>
      <c r="G424" s="306">
        <f t="shared" ca="1" si="185"/>
        <v>15.101765345267104</v>
      </c>
      <c r="H424" s="307">
        <f t="shared" ca="1" si="186"/>
        <v>-93.959422712060118</v>
      </c>
      <c r="I424" s="304">
        <f t="shared" ca="1" si="187"/>
        <v>95.165311079863073</v>
      </c>
      <c r="J424" s="306">
        <f t="shared" ca="1" si="188"/>
        <v>581.21068436140956</v>
      </c>
      <c r="K424" s="307">
        <f t="shared" ca="1" si="189"/>
        <v>1308.2089155464632</v>
      </c>
      <c r="L424" s="304">
        <f t="shared" ca="1" si="174"/>
        <v>1431.5084443799524</v>
      </c>
      <c r="M424" s="306">
        <f t="shared" ca="1" si="190"/>
        <v>-1.4114328186889866</v>
      </c>
      <c r="N424" s="304">
        <f t="shared" ca="1" si="191"/>
        <v>-80.869143577132476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4.0843000000000034</v>
      </c>
      <c r="T424" s="304">
        <f t="shared" ca="1" si="175"/>
        <v>40.066983000000036</v>
      </c>
      <c r="U424" s="311">
        <f t="shared" ca="1" si="176"/>
        <v>0</v>
      </c>
      <c r="V424" s="306">
        <f t="shared" ca="1" si="177"/>
        <v>1.0745832354661031</v>
      </c>
      <c r="W424" s="304">
        <f t="shared" ca="1" si="178"/>
        <v>14.212010357865344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 t="e">
        <f t="shared" ca="1" si="199"/>
        <v>#N/A</v>
      </c>
      <c r="AD424" s="323" t="e">
        <f t="shared" ca="1" si="200"/>
        <v>#N/A</v>
      </c>
      <c r="AE424" s="324" t="e">
        <f t="shared" ca="1" si="179"/>
        <v>#N/A</v>
      </c>
      <c r="AG424" s="306">
        <f t="shared" ca="1" si="201"/>
        <v>6.2522471835991427</v>
      </c>
      <c r="AH424" s="304">
        <f t="shared" ca="1" si="202"/>
        <v>-3.4308592958702073</v>
      </c>
    </row>
    <row r="425" spans="1:34" x14ac:dyDescent="0.2">
      <c r="A425" s="347">
        <f t="shared" ca="1" si="180"/>
        <v>0.1</v>
      </c>
      <c r="B425" s="304">
        <f t="shared" ca="1" si="181"/>
        <v>30.700000000000138</v>
      </c>
      <c r="D425" s="306">
        <f t="shared" ca="1" si="182"/>
        <v>-0.55218795264307452</v>
      </c>
      <c r="E425" s="307">
        <f t="shared" ca="1" si="183"/>
        <v>-6.3744240873363909</v>
      </c>
      <c r="F425" s="304">
        <f t="shared" ca="1" si="184"/>
        <v>6.3982961779100638</v>
      </c>
      <c r="G425" s="306">
        <f t="shared" ca="1" si="185"/>
        <v>15.046546550002796</v>
      </c>
      <c r="H425" s="307">
        <f t="shared" ca="1" si="186"/>
        <v>-94.596865120793751</v>
      </c>
      <c r="I425" s="304">
        <f t="shared" ca="1" si="187"/>
        <v>95.786039973281305</v>
      </c>
      <c r="J425" s="306">
        <f t="shared" ca="1" si="188"/>
        <v>582.71809995617309</v>
      </c>
      <c r="K425" s="307">
        <f t="shared" ca="1" si="189"/>
        <v>1298.7811011548206</v>
      </c>
      <c r="L425" s="304">
        <f t="shared" ca="1" si="174"/>
        <v>1423.5142193646893</v>
      </c>
      <c r="M425" s="306">
        <f t="shared" ca="1" si="190"/>
        <v>-1.4130580531632964</v>
      </c>
      <c r="N425" s="304">
        <f t="shared" ca="1" si="191"/>
        <v>-80.962262653229587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4.0843000000000034</v>
      </c>
      <c r="T425" s="304">
        <f t="shared" ca="1" si="175"/>
        <v>40.066983000000036</v>
      </c>
      <c r="U425" s="311">
        <f t="shared" ca="1" si="176"/>
        <v>0</v>
      </c>
      <c r="V425" s="306">
        <f t="shared" ca="1" si="177"/>
        <v>1.0756011361534308</v>
      </c>
      <c r="W425" s="304">
        <f t="shared" ca="1" si="178"/>
        <v>14.411653150817544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 t="e">
        <f t="shared" ca="1" si="179"/>
        <v>#N/A</v>
      </c>
      <c r="AG425" s="306">
        <f t="shared" ca="1" si="201"/>
        <v>6.2060238944109241</v>
      </c>
      <c r="AH425" s="304">
        <f t="shared" ca="1" si="202"/>
        <v>-3.4796685742637252</v>
      </c>
    </row>
    <row r="426" spans="1:34" x14ac:dyDescent="0.2">
      <c r="A426" s="347">
        <f t="shared" ca="1" si="180"/>
        <v>0.1</v>
      </c>
      <c r="B426" s="304">
        <f t="shared" ca="1" si="181"/>
        <v>30.800000000000139</v>
      </c>
      <c r="D426" s="306">
        <f t="shared" ca="1" si="182"/>
        <v>-0.55428200736962119</v>
      </c>
      <c r="E426" s="307">
        <f t="shared" ca="1" si="183"/>
        <v>-6.325257496743192</v>
      </c>
      <c r="F426" s="304">
        <f t="shared" ca="1" si="184"/>
        <v>6.3494969047791221</v>
      </c>
      <c r="G426" s="306">
        <f t="shared" ca="1" si="185"/>
        <v>14.991118349265834</v>
      </c>
      <c r="H426" s="307">
        <f t="shared" ca="1" si="186"/>
        <v>-95.229390870468066</v>
      </c>
      <c r="I426" s="304">
        <f t="shared" ca="1" si="187"/>
        <v>96.402129203260245</v>
      </c>
      <c r="J426" s="306">
        <f t="shared" ca="1" si="188"/>
        <v>584.21998320113653</v>
      </c>
      <c r="K426" s="307">
        <f t="shared" ca="1" si="189"/>
        <v>1289.2897883552575</v>
      </c>
      <c r="L426" s="304">
        <f t="shared" ca="1" si="174"/>
        <v>1415.4791228162574</v>
      </c>
      <c r="M426" s="306">
        <f t="shared" ca="1" si="190"/>
        <v>-1.4146565698729818</v>
      </c>
      <c r="N426" s="304">
        <f t="shared" ca="1" si="191"/>
        <v>-81.053850914175698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4.0843000000000034</v>
      </c>
      <c r="T426" s="304">
        <f t="shared" ca="1" si="175"/>
        <v>40.066983000000036</v>
      </c>
      <c r="U426" s="311">
        <f t="shared" ca="1" si="176"/>
        <v>0</v>
      </c>
      <c r="V426" s="306">
        <f t="shared" ca="1" si="177"/>
        <v>1.076626803295329</v>
      </c>
      <c r="W426" s="304">
        <f t="shared" ca="1" si="178"/>
        <v>14.611558837750808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 t="e">
        <f t="shared" ca="1" si="179"/>
        <v>#N/A</v>
      </c>
      <c r="AG426" s="306">
        <f t="shared" ca="1" si="201"/>
        <v>6.1596606396147839</v>
      </c>
      <c r="AH426" s="304">
        <f t="shared" ca="1" si="202"/>
        <v>-3.5285491151035755</v>
      </c>
    </row>
    <row r="427" spans="1:34" x14ac:dyDescent="0.2">
      <c r="A427" s="347">
        <f t="shared" ca="1" si="180"/>
        <v>0.1</v>
      </c>
      <c r="B427" s="304">
        <f t="shared" ca="1" si="181"/>
        <v>30.900000000000141</v>
      </c>
      <c r="D427" s="306">
        <f t="shared" ca="1" si="182"/>
        <v>-0.55632211377905849</v>
      </c>
      <c r="E427" s="307">
        <f t="shared" ca="1" si="183"/>
        <v>-6.2760264305400879</v>
      </c>
      <c r="F427" s="304">
        <f t="shared" ca="1" si="184"/>
        <v>6.3006350514148455</v>
      </c>
      <c r="G427" s="306">
        <f t="shared" ca="1" si="185"/>
        <v>14.935486137887928</v>
      </c>
      <c r="H427" s="307">
        <f t="shared" ca="1" si="186"/>
        <v>-95.85699351352207</v>
      </c>
      <c r="I427" s="304">
        <f t="shared" ca="1" si="187"/>
        <v>97.013565812346343</v>
      </c>
      <c r="J427" s="306">
        <f t="shared" ca="1" si="188"/>
        <v>585.71631342549426</v>
      </c>
      <c r="K427" s="307">
        <f t="shared" ca="1" si="189"/>
        <v>1279.7354691360581</v>
      </c>
      <c r="L427" s="304">
        <f t="shared" ca="1" si="174"/>
        <v>1407.4041604235929</v>
      </c>
      <c r="M427" s="306">
        <f t="shared" ca="1" si="190"/>
        <v>-1.4162290462334051</v>
      </c>
      <c r="N427" s="304">
        <f t="shared" ca="1" si="191"/>
        <v>-81.143947173012052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4.0843000000000034</v>
      </c>
      <c r="T427" s="304">
        <f t="shared" ca="1" si="175"/>
        <v>40.066983000000036</v>
      </c>
      <c r="U427" s="311">
        <f t="shared" ca="1" si="176"/>
        <v>0</v>
      </c>
      <c r="V427" s="306">
        <f t="shared" ca="1" si="177"/>
        <v>1.0776602032280509</v>
      </c>
      <c r="W427" s="304">
        <f t="shared" ca="1" si="178"/>
        <v>14.811699479990338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 t="e">
        <f t="shared" ca="1" si="179"/>
        <v>#N/A</v>
      </c>
      <c r="AG427" s="306">
        <f t="shared" ca="1" si="201"/>
        <v>6.11316667266499</v>
      </c>
      <c r="AH427" s="304">
        <f t="shared" ca="1" si="202"/>
        <v>-3.5774940229049768</v>
      </c>
    </row>
    <row r="428" spans="1:34" x14ac:dyDescent="0.2">
      <c r="A428" s="347">
        <f t="shared" ca="1" si="180"/>
        <v>0.1</v>
      </c>
      <c r="B428" s="304">
        <f t="shared" ca="1" si="181"/>
        <v>31.000000000000142</v>
      </c>
      <c r="D428" s="306">
        <f t="shared" ca="1" si="182"/>
        <v>-0.55830838822917217</v>
      </c>
      <c r="E428" s="307">
        <f t="shared" ca="1" si="183"/>
        <v>-6.226737757650465</v>
      </c>
      <c r="F428" s="304">
        <f t="shared" ca="1" si="184"/>
        <v>6.2517174727363516</v>
      </c>
      <c r="G428" s="306">
        <f t="shared" ca="1" si="185"/>
        <v>14.879655299065011</v>
      </c>
      <c r="H428" s="307">
        <f t="shared" ca="1" si="186"/>
        <v>-96.479667289287121</v>
      </c>
      <c r="I428" s="304">
        <f t="shared" ca="1" si="187"/>
        <v>97.620337748189201</v>
      </c>
      <c r="J428" s="306">
        <f t="shared" ca="1" si="188"/>
        <v>587.20707049734187</v>
      </c>
      <c r="K428" s="307">
        <f t="shared" ca="1" si="189"/>
        <v>1270.1186360959177</v>
      </c>
      <c r="L428" s="304">
        <f t="shared" ca="1" si="174"/>
        <v>1399.2903535007395</v>
      </c>
      <c r="M428" s="306">
        <f t="shared" ca="1" si="190"/>
        <v>-1.4177761369142912</v>
      </c>
      <c r="N428" s="304">
        <f t="shared" ca="1" si="191"/>
        <v>-81.232588939550837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4.0843000000000034</v>
      </c>
      <c r="T428" s="304">
        <f t="shared" ca="1" si="175"/>
        <v>40.066983000000036</v>
      </c>
      <c r="U428" s="311">
        <f t="shared" ca="1" si="176"/>
        <v>0</v>
      </c>
      <c r="V428" s="306">
        <f t="shared" ca="1" si="177"/>
        <v>1.0787013022036365</v>
      </c>
      <c r="W428" s="304">
        <f t="shared" ca="1" si="178"/>
        <v>15.01204736917825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>
        <f t="shared" ca="1" si="199"/>
        <v>31.000000000000142</v>
      </c>
      <c r="AD428" s="323">
        <f t="shared" ca="1" si="200"/>
        <v>587.20707049734187</v>
      </c>
      <c r="AE428" s="324" t="e">
        <f t="shared" ca="1" si="179"/>
        <v>#N/A</v>
      </c>
      <c r="AG428" s="306">
        <f t="shared" ca="1" si="201"/>
        <v>6.0665510923580594</v>
      </c>
      <c r="AH428" s="304">
        <f t="shared" ca="1" si="202"/>
        <v>-3.6264964571628737</v>
      </c>
    </row>
    <row r="429" spans="1:34" x14ac:dyDescent="0.2">
      <c r="A429" s="347">
        <f t="shared" ca="1" si="180"/>
        <v>0.1</v>
      </c>
      <c r="B429" s="304">
        <f t="shared" ca="1" si="181"/>
        <v>31.100000000000144</v>
      </c>
      <c r="D429" s="306">
        <f t="shared" ca="1" si="182"/>
        <v>-0.56024095845757937</v>
      </c>
      <c r="E429" s="307">
        <f t="shared" ca="1" si="183"/>
        <v>-6.1773982906569724</v>
      </c>
      <c r="F429" s="304">
        <f t="shared" ca="1" si="184"/>
        <v>6.2027509681547874</v>
      </c>
      <c r="G429" s="306">
        <f t="shared" ca="1" si="185"/>
        <v>14.823631203219252</v>
      </c>
      <c r="H429" s="307">
        <f t="shared" ca="1" si="186"/>
        <v>-97.09740711835282</v>
      </c>
      <c r="I429" s="304">
        <f t="shared" ca="1" si="187"/>
        <v>98.222433848669255</v>
      </c>
      <c r="J429" s="306">
        <f t="shared" ca="1" si="188"/>
        <v>588.69223482245604</v>
      </c>
      <c r="K429" s="307">
        <f t="shared" ca="1" si="189"/>
        <v>1260.4397823755357</v>
      </c>
      <c r="L429" s="304">
        <f t="shared" ca="1" si="174"/>
        <v>1391.1387394272167</v>
      </c>
      <c r="M429" s="306">
        <f t="shared" ca="1" si="190"/>
        <v>-1.4192984747748802</v>
      </c>
      <c r="N429" s="304">
        <f t="shared" ca="1" si="191"/>
        <v>-81.319812473955565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4.0843000000000034</v>
      </c>
      <c r="T429" s="304">
        <f t="shared" ca="1" si="175"/>
        <v>40.066983000000036</v>
      </c>
      <c r="U429" s="311">
        <f t="shared" ca="1" si="176"/>
        <v>0</v>
      </c>
      <c r="V429" s="306">
        <f t="shared" ca="1" si="177"/>
        <v>1.0797500663942043</v>
      </c>
      <c r="W429" s="304">
        <f t="shared" ca="1" si="178"/>
        <v>15.212575032871831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 t="e">
        <f t="shared" ca="1" si="179"/>
        <v>#N/A</v>
      </c>
      <c r="AG429" s="306">
        <f t="shared" ca="1" si="201"/>
        <v>6.0198228463989283</v>
      </c>
      <c r="AH429" s="304">
        <f t="shared" ca="1" si="202"/>
        <v>-3.675549633763004</v>
      </c>
    </row>
    <row r="430" spans="1:34" x14ac:dyDescent="0.2">
      <c r="A430" s="347">
        <f t="shared" ca="1" si="180"/>
        <v>0.1</v>
      </c>
      <c r="B430" s="304">
        <f t="shared" ca="1" si="181"/>
        <v>31.200000000000145</v>
      </c>
      <c r="D430" s="306">
        <f t="shared" ca="1" si="182"/>
        <v>-0.56211996335946668</v>
      </c>
      <c r="E430" s="307">
        <f t="shared" ca="1" si="183"/>
        <v>-6.1280147844062363</v>
      </c>
      <c r="F430" s="304">
        <f t="shared" ca="1" si="184"/>
        <v>6.1537422801989896</v>
      </c>
      <c r="G430" s="306">
        <f t="shared" ca="1" si="185"/>
        <v>14.767419206883305</v>
      </c>
      <c r="H430" s="307">
        <f t="shared" ca="1" si="186"/>
        <v>-97.71020859679345</v>
      </c>
      <c r="I430" s="304">
        <f t="shared" ca="1" si="187"/>
        <v>98.819843827344286</v>
      </c>
      <c r="J430" s="306">
        <f t="shared" ca="1" si="188"/>
        <v>590.17178734296112</v>
      </c>
      <c r="K430" s="307">
        <f t="shared" ca="1" si="189"/>
        <v>1250.6994015897785</v>
      </c>
      <c r="L430" s="304">
        <f t="shared" ca="1" si="174"/>
        <v>1382.9503721076239</v>
      </c>
      <c r="M430" s="306">
        <f t="shared" ca="1" si="190"/>
        <v>-1.4207966717538227</v>
      </c>
      <c r="N430" s="304">
        <f t="shared" ca="1" si="191"/>
        <v>-81.405652837728226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4.0843000000000034</v>
      </c>
      <c r="T430" s="304">
        <f t="shared" ca="1" si="175"/>
        <v>40.066983000000036</v>
      </c>
      <c r="U430" s="311">
        <f t="shared" ca="1" si="176"/>
        <v>0</v>
      </c>
      <c r="V430" s="306">
        <f t="shared" ca="1" si="177"/>
        <v>1.0808064618962272</v>
      </c>
      <c r="W430" s="304">
        <f t="shared" ca="1" si="178"/>
        <v>15.413255239976358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 t="e">
        <f t="shared" ca="1" si="179"/>
        <v>#N/A</v>
      </c>
      <c r="AG430" s="306">
        <f t="shared" ca="1" si="201"/>
        <v>5.9729907347222397</v>
      </c>
      <c r="AH430" s="304">
        <f t="shared" ca="1" si="202"/>
        <v>-3.7246468263525743</v>
      </c>
    </row>
    <row r="431" spans="1:34" x14ac:dyDescent="0.2">
      <c r="A431" s="347">
        <f t="shared" ca="1" si="180"/>
        <v>0.1</v>
      </c>
      <c r="B431" s="304">
        <f t="shared" ca="1" si="181"/>
        <v>31.300000000000146</v>
      </c>
      <c r="D431" s="306">
        <f t="shared" ca="1" si="182"/>
        <v>-0.56394555276653879</v>
      </c>
      <c r="E431" s="307">
        <f t="shared" ca="1" si="183"/>
        <v>-6.0785939346552809</v>
      </c>
      <c r="F431" s="304">
        <f t="shared" ca="1" si="184"/>
        <v>6.104698093183079</v>
      </c>
      <c r="G431" s="306">
        <f t="shared" ca="1" si="185"/>
        <v>14.711024651606651</v>
      </c>
      <c r="H431" s="307">
        <f t="shared" ca="1" si="186"/>
        <v>-98.318067990258982</v>
      </c>
      <c r="I431" s="304">
        <f t="shared" ca="1" si="187"/>
        <v>99.412558259192622</v>
      </c>
      <c r="J431" s="306">
        <f t="shared" ca="1" si="188"/>
        <v>591.64570953588566</v>
      </c>
      <c r="K431" s="307">
        <f t="shared" ca="1" si="189"/>
        <v>1240.8979877604258</v>
      </c>
      <c r="L431" s="304">
        <f t="shared" ca="1" si="174"/>
        <v>1374.7263224511616</v>
      </c>
      <c r="M431" s="306">
        <f t="shared" ca="1" si="190"/>
        <v>-1.4222713197163213</v>
      </c>
      <c r="N431" s="304">
        <f t="shared" ca="1" si="191"/>
        <v>-81.490143942246959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4.0843000000000034</v>
      </c>
      <c r="T431" s="304">
        <f t="shared" ca="1" si="175"/>
        <v>40.066983000000036</v>
      </c>
      <c r="U431" s="311">
        <f t="shared" ca="1" si="176"/>
        <v>0</v>
      </c>
      <c r="V431" s="306">
        <f t="shared" ca="1" si="177"/>
        <v>1.0818704547347817</v>
      </c>
      <c r="W431" s="304">
        <f t="shared" ca="1" si="178"/>
        <v>15.614061006011879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 t="e">
        <f t="shared" ca="1" si="179"/>
        <v>#N/A</v>
      </c>
      <c r="AG431" s="306">
        <f t="shared" ca="1" si="201"/>
        <v>5.92606341258724</v>
      </c>
      <c r="AH431" s="304">
        <f t="shared" ca="1" si="202"/>
        <v>-3.7737813676704319</v>
      </c>
    </row>
    <row r="432" spans="1:34" x14ac:dyDescent="0.2">
      <c r="A432" s="347">
        <f t="shared" ca="1" si="180"/>
        <v>0.1</v>
      </c>
      <c r="B432" s="304">
        <f t="shared" ca="1" si="181"/>
        <v>31.400000000000148</v>
      </c>
      <c r="D432" s="306">
        <f t="shared" ca="1" si="182"/>
        <v>-0.56571788722712624</v>
      </c>
      <c r="E432" s="307">
        <f t="shared" ca="1" si="183"/>
        <v>-6.0291423767597472</v>
      </c>
      <c r="F432" s="304">
        <f t="shared" ca="1" si="184"/>
        <v>6.0556250319161027</v>
      </c>
      <c r="G432" s="306">
        <f t="shared" ca="1" si="185"/>
        <v>14.654452862883939</v>
      </c>
      <c r="H432" s="307">
        <f t="shared" ca="1" si="186"/>
        <v>-98.920982227934957</v>
      </c>
      <c r="I432" s="304">
        <f t="shared" ca="1" si="187"/>
        <v>100.00056856663321</v>
      </c>
      <c r="J432" s="306">
        <f t="shared" ca="1" si="188"/>
        <v>593.11398341161021</v>
      </c>
      <c r="K432" s="307">
        <f t="shared" ca="1" si="189"/>
        <v>1231.0360352495161</v>
      </c>
      <c r="L432" s="304">
        <f t="shared" ca="1" si="174"/>
        <v>1366.467678871782</v>
      </c>
      <c r="M432" s="306">
        <f t="shared" ca="1" si="190"/>
        <v>-1.4237229912608727</v>
      </c>
      <c r="N432" s="304">
        <f t="shared" ca="1" si="191"/>
        <v>-81.57331859498899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4.0843000000000034</v>
      </c>
      <c r="T432" s="304">
        <f t="shared" ca="1" si="175"/>
        <v>40.066983000000036</v>
      </c>
      <c r="U432" s="311">
        <f t="shared" ca="1" si="176"/>
        <v>0</v>
      </c>
      <c r="V432" s="306">
        <f t="shared" ca="1" si="177"/>
        <v>1.082942010867777</v>
      </c>
      <c r="W432" s="304">
        <f t="shared" ca="1" si="178"/>
        <v>15.814965598213583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 t="e">
        <f t="shared" ca="1" si="179"/>
        <v>#N/A</v>
      </c>
      <c r="AG432" s="306">
        <f t="shared" ca="1" si="201"/>
        <v>5.8790493934635206</v>
      </c>
      <c r="AH432" s="304">
        <f t="shared" ca="1" si="202"/>
        <v>-3.8229466508365855</v>
      </c>
    </row>
    <row r="433" spans="1:34" x14ac:dyDescent="0.2">
      <c r="A433" s="347">
        <f t="shared" ca="1" si="180"/>
        <v>0.1</v>
      </c>
      <c r="B433" s="304">
        <f t="shared" ca="1" si="181"/>
        <v>31.500000000000149</v>
      </c>
      <c r="D433" s="306">
        <f t="shared" ca="1" si="182"/>
        <v>-0.56743713778738858</v>
      </c>
      <c r="E433" s="307">
        <f t="shared" ca="1" si="183"/>
        <v>-5.9796666844039326</v>
      </c>
      <c r="F433" s="304">
        <f t="shared" ca="1" si="184"/>
        <v>6.0065296604537517</v>
      </c>
      <c r="G433" s="306">
        <f t="shared" ca="1" si="185"/>
        <v>14.597709149105201</v>
      </c>
      <c r="H433" s="307">
        <f t="shared" ca="1" si="186"/>
        <v>-99.518948896375349</v>
      </c>
      <c r="I433" s="304">
        <f t="shared" ca="1" si="187"/>
        <v>100.58386700580387</v>
      </c>
      <c r="J433" s="306">
        <f t="shared" ca="1" si="188"/>
        <v>594.57659151220969</v>
      </c>
      <c r="K433" s="307">
        <f t="shared" ca="1" si="189"/>
        <v>1221.1140386933005</v>
      </c>
      <c r="L433" s="304">
        <f t="shared" ca="1" si="174"/>
        <v>1358.1755478096859</v>
      </c>
      <c r="M433" s="306">
        <f t="shared" ca="1" si="190"/>
        <v>-1.4251522404878185</v>
      </c>
      <c r="N433" s="304">
        <f t="shared" ca="1" si="191"/>
        <v>-81.655208543565323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4.0843000000000034</v>
      </c>
      <c r="T433" s="304">
        <f t="shared" ca="1" si="175"/>
        <v>40.066983000000036</v>
      </c>
      <c r="U433" s="311">
        <f t="shared" ca="1" si="176"/>
        <v>0</v>
      </c>
      <c r="V433" s="306">
        <f t="shared" ca="1" si="177"/>
        <v>1.0840210961901602</v>
      </c>
      <c r="W433" s="304">
        <f t="shared" ca="1" si="178"/>
        <v>16.015942540465602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 t="e">
        <f t="shared" ca="1" si="179"/>
        <v>#N/A</v>
      </c>
      <c r="AG433" s="306">
        <f t="shared" ca="1" si="201"/>
        <v>5.8319570517235526</v>
      </c>
      <c r="AH433" s="304">
        <f t="shared" ca="1" si="202"/>
        <v>-3.8721361306009769</v>
      </c>
    </row>
    <row r="434" spans="1:34" x14ac:dyDescent="0.2">
      <c r="A434" s="347">
        <f t="shared" ca="1" si="180"/>
        <v>0.1</v>
      </c>
      <c r="B434" s="304">
        <f t="shared" ca="1" si="181"/>
        <v>31.600000000000151</v>
      </c>
      <c r="D434" s="306">
        <f t="shared" ca="1" si="182"/>
        <v>-0.56910348577356562</v>
      </c>
      <c r="E434" s="307">
        <f t="shared" ca="1" si="183"/>
        <v>-5.930173368372655</v>
      </c>
      <c r="F434" s="304">
        <f t="shared" ca="1" si="184"/>
        <v>5.9574184808921986</v>
      </c>
      <c r="G434" s="306">
        <f t="shared" ca="1" si="185"/>
        <v>14.540798800527844</v>
      </c>
      <c r="H434" s="307">
        <f t="shared" ca="1" si="186"/>
        <v>-100.11196623321261</v>
      </c>
      <c r="I434" s="304">
        <f t="shared" ca="1" si="187"/>
        <v>101.16244665308039</v>
      </c>
      <c r="J434" s="306">
        <f t="shared" ca="1" si="188"/>
        <v>596.03351690969134</v>
      </c>
      <c r="K434" s="307">
        <f t="shared" ca="1" si="189"/>
        <v>1211.1324929368211</v>
      </c>
      <c r="L434" s="304">
        <f t="shared" ca="1" si="174"/>
        <v>1349.8510542749129</v>
      </c>
      <c r="M434" s="306">
        <f t="shared" ca="1" si="190"/>
        <v>-1.4265596037317703</v>
      </c>
      <c r="N434" s="304">
        <f t="shared" ca="1" si="191"/>
        <v>-81.735844517685607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4.0843000000000034</v>
      </c>
      <c r="T434" s="304">
        <f t="shared" ca="1" si="175"/>
        <v>40.066983000000036</v>
      </c>
      <c r="U434" s="311">
        <f t="shared" ca="1" si="176"/>
        <v>0</v>
      </c>
      <c r="V434" s="306">
        <f t="shared" ca="1" si="177"/>
        <v>1.0851076765380967</v>
      </c>
      <c r="W434" s="304">
        <f t="shared" ca="1" si="178"/>
        <v>16.216965618067853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 t="e">
        <f t="shared" ca="1" si="199"/>
        <v>#N/A</v>
      </c>
      <c r="AD434" s="323" t="e">
        <f t="shared" ca="1" si="200"/>
        <v>#N/A</v>
      </c>
      <c r="AE434" s="324" t="e">
        <f t="shared" ca="1" si="179"/>
        <v>#N/A</v>
      </c>
      <c r="AG434" s="306">
        <f t="shared" ca="1" si="201"/>
        <v>5.7847946251567945</v>
      </c>
      <c r="AH434" s="304">
        <f t="shared" ca="1" si="202"/>
        <v>-3.9213433245514748</v>
      </c>
    </row>
    <row r="435" spans="1:34" x14ac:dyDescent="0.2">
      <c r="A435" s="347">
        <f t="shared" ca="1" si="180"/>
        <v>0.1</v>
      </c>
      <c r="B435" s="304">
        <f t="shared" ca="1" si="181"/>
        <v>31.700000000000152</v>
      </c>
      <c r="D435" s="306">
        <f t="shared" ca="1" si="182"/>
        <v>-0.57071712257525342</v>
      </c>
      <c r="E435" s="307">
        <f t="shared" ca="1" si="183"/>
        <v>-5.8806688753649494</v>
      </c>
      <c r="F435" s="304">
        <f t="shared" ca="1" si="184"/>
        <v>5.9082979322040483</v>
      </c>
      <c r="G435" s="306">
        <f t="shared" ca="1" si="185"/>
        <v>14.483727088270319</v>
      </c>
      <c r="H435" s="307">
        <f t="shared" ca="1" si="186"/>
        <v>-100.70003312074911</v>
      </c>
      <c r="I435" s="304">
        <f t="shared" ca="1" si="187"/>
        <v>101.73630139182112</v>
      </c>
      <c r="J435" s="306">
        <f t="shared" ca="1" si="188"/>
        <v>597.48474320413129</v>
      </c>
      <c r="K435" s="307">
        <f t="shared" ca="1" si="189"/>
        <v>1201.0918929691229</v>
      </c>
      <c r="L435" s="304">
        <f t="shared" ca="1" si="174"/>
        <v>1341.4953424137773</v>
      </c>
      <c r="M435" s="306">
        <f t="shared" ca="1" si="190"/>
        <v>-1.4279456002598587</v>
      </c>
      <c r="N435" s="304">
        <f t="shared" ca="1" si="191"/>
        <v>-81.815256269164848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4.0843000000000034</v>
      </c>
      <c r="T435" s="304">
        <f t="shared" ca="1" si="175"/>
        <v>40.066983000000036</v>
      </c>
      <c r="U435" s="311">
        <f t="shared" ca="1" si="176"/>
        <v>0</v>
      </c>
      <c r="V435" s="306">
        <f t="shared" ca="1" si="177"/>
        <v>1.0862017176931242</v>
      </c>
      <c r="W435" s="304">
        <f t="shared" ca="1" si="178"/>
        <v>16.418008882336157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 t="e">
        <f t="shared" ca="1" si="179"/>
        <v>#N/A</v>
      </c>
      <c r="AG435" s="306">
        <f t="shared" ca="1" si="201"/>
        <v>5.7375702173192096</v>
      </c>
      <c r="AH435" s="304">
        <f t="shared" ca="1" si="202"/>
        <v>-3.970561814280988</v>
      </c>
    </row>
    <row r="436" spans="1:34" x14ac:dyDescent="0.2">
      <c r="A436" s="347">
        <f t="shared" ca="1" si="180"/>
        <v>0.1</v>
      </c>
      <c r="B436" s="304">
        <f t="shared" ca="1" si="181"/>
        <v>31.800000000000153</v>
      </c>
      <c r="D436" s="306">
        <f t="shared" ca="1" si="182"/>
        <v>-0.57227824942967009</v>
      </c>
      <c r="E436" s="307">
        <f t="shared" ca="1" si="183"/>
        <v>-5.8311595868495321</v>
      </c>
      <c r="F436" s="304">
        <f t="shared" ca="1" si="184"/>
        <v>5.8591743891163954</v>
      </c>
      <c r="G436" s="306">
        <f t="shared" ca="1" si="185"/>
        <v>14.426499263327353</v>
      </c>
      <c r="H436" s="307">
        <f t="shared" ca="1" si="186"/>
        <v>-101.28314907943407</v>
      </c>
      <c r="I436" s="304">
        <f t="shared" ca="1" si="187"/>
        <v>102.30542589932193</v>
      </c>
      <c r="J436" s="306">
        <f t="shared" ca="1" si="188"/>
        <v>598.93025452171116</v>
      </c>
      <c r="K436" s="307">
        <f t="shared" ca="1" si="189"/>
        <v>1190.9927338591137</v>
      </c>
      <c r="L436" s="304">
        <f t="shared" ca="1" si="174"/>
        <v>1333.1095760989219</v>
      </c>
      <c r="M436" s="306">
        <f t="shared" ca="1" si="190"/>
        <v>-1.4293107329376364</v>
      </c>
      <c r="N436" s="304">
        <f t="shared" ca="1" si="191"/>
        <v>-81.893472610076913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4.0843000000000034</v>
      </c>
      <c r="T436" s="304">
        <f t="shared" ca="1" si="175"/>
        <v>40.066983000000036</v>
      </c>
      <c r="U436" s="311">
        <f t="shared" ca="1" si="176"/>
        <v>0</v>
      </c>
      <c r="V436" s="306">
        <f t="shared" ca="1" si="177"/>
        <v>1.0873031853862827</v>
      </c>
      <c r="W436" s="304">
        <f t="shared" ca="1" si="178"/>
        <v>16.619046655035472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 t="e">
        <f t="shared" ca="1" si="179"/>
        <v>#N/A</v>
      </c>
      <c r="AG436" s="306">
        <f t="shared" ca="1" si="201"/>
        <v>5.6902917997308817</v>
      </c>
      <c r="AH436" s="304">
        <f t="shared" ca="1" si="202"/>
        <v>-4.0197852465137585</v>
      </c>
    </row>
    <row r="437" spans="1:34" x14ac:dyDescent="0.2">
      <c r="A437" s="347">
        <f t="shared" ca="1" si="180"/>
        <v>0.1</v>
      </c>
      <c r="B437" s="304">
        <f t="shared" ca="1" si="181"/>
        <v>31.900000000000155</v>
      </c>
      <c r="D437" s="306">
        <f t="shared" ca="1" si="182"/>
        <v>-0.57378707720688082</v>
      </c>
      <c r="E437" s="307">
        <f t="shared" ca="1" si="183"/>
        <v>-5.7816518179620013</v>
      </c>
      <c r="F437" s="304">
        <f t="shared" ca="1" si="184"/>
        <v>5.8100541610309397</v>
      </c>
      <c r="G437" s="306">
        <f t="shared" ca="1" si="185"/>
        <v>14.369120555606665</v>
      </c>
      <c r="H437" s="307">
        <f t="shared" ca="1" si="186"/>
        <v>-101.86131426123026</v>
      </c>
      <c r="I437" s="304">
        <f t="shared" ca="1" si="187"/>
        <v>102.8698156339685</v>
      </c>
      <c r="J437" s="306">
        <f t="shared" ca="1" si="188"/>
        <v>600.37003551265786</v>
      </c>
      <c r="K437" s="307">
        <f t="shared" ca="1" si="189"/>
        <v>1180.8355106920806</v>
      </c>
      <c r="L437" s="304">
        <f t="shared" ca="1" si="174"/>
        <v>1324.6949395437791</v>
      </c>
      <c r="M437" s="306">
        <f t="shared" ca="1" si="190"/>
        <v>-1.4306554888643463</v>
      </c>
      <c r="N437" s="304">
        <f t="shared" ca="1" si="191"/>
        <v>-81.970521449152585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4.0843000000000034</v>
      </c>
      <c r="T437" s="304">
        <f t="shared" ca="1" si="175"/>
        <v>40.066983000000036</v>
      </c>
      <c r="U437" s="311">
        <f t="shared" ca="1" si="176"/>
        <v>0</v>
      </c>
      <c r="V437" s="306">
        <f t="shared" ca="1" si="177"/>
        <v>1.0884120453022175</v>
      </c>
      <c r="W437" s="304">
        <f t="shared" ca="1" si="178"/>
        <v>16.820053532646526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 t="e">
        <f t="shared" ca="1" si="179"/>
        <v>#N/A</v>
      </c>
      <c r="AG437" s="306">
        <f t="shared" ca="1" si="201"/>
        <v>5.6429672139336731</v>
      </c>
      <c r="AH437" s="304">
        <f t="shared" ca="1" si="202"/>
        <v>-4.0690073341907933</v>
      </c>
    </row>
    <row r="438" spans="1:34" x14ac:dyDescent="0.2">
      <c r="A438" s="347">
        <f t="shared" ca="1" si="180"/>
        <v>0.1</v>
      </c>
      <c r="B438" s="304">
        <f t="shared" ca="1" si="181"/>
        <v>32.000000000000156</v>
      </c>
      <c r="D438" s="306">
        <f t="shared" ca="1" si="182"/>
        <v>-0.57524382619599279</v>
      </c>
      <c r="E438" s="307">
        <f t="shared" ca="1" si="183"/>
        <v>-5.7321518164436718</v>
      </c>
      <c r="F438" s="304">
        <f t="shared" ca="1" si="184"/>
        <v>5.7609434909860981</v>
      </c>
      <c r="G438" s="306">
        <f t="shared" ca="1" si="185"/>
        <v>14.311596172987066</v>
      </c>
      <c r="H438" s="307">
        <f t="shared" ca="1" si="186"/>
        <v>-102.43452944287463</v>
      </c>
      <c r="I438" s="304">
        <f t="shared" ca="1" si="187"/>
        <v>103.42946682257339</v>
      </c>
      <c r="J438" s="306">
        <f t="shared" ca="1" si="188"/>
        <v>601.80407134908751</v>
      </c>
      <c r="K438" s="307">
        <f t="shared" ca="1" si="189"/>
        <v>1170.6207185068754</v>
      </c>
      <c r="L438" s="304">
        <f t="shared" ca="1" si="174"/>
        <v>1316.2526379422345</v>
      </c>
      <c r="M438" s="306">
        <f t="shared" ca="1" si="190"/>
        <v>-1.4319803399791775</v>
      </c>
      <c r="N438" s="304">
        <f t="shared" ca="1" si="191"/>
        <v>-82.04642982651562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4.0843000000000034</v>
      </c>
      <c r="T438" s="304">
        <f t="shared" ca="1" si="175"/>
        <v>40.066983000000036</v>
      </c>
      <c r="U438" s="311">
        <f t="shared" ca="1" si="176"/>
        <v>0</v>
      </c>
      <c r="V438" s="306">
        <f t="shared" ca="1" si="177"/>
        <v>1.089528263083251</v>
      </c>
      <c r="W438" s="304">
        <f t="shared" ca="1" si="178"/>
        <v>17.021004390466054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>
        <f t="shared" ca="1" si="199"/>
        <v>32.000000000000156</v>
      </c>
      <c r="AD438" s="323">
        <f t="shared" ca="1" si="200"/>
        <v>601.80407134908751</v>
      </c>
      <c r="AE438" s="324" t="e">
        <f t="shared" ca="1" si="179"/>
        <v>#N/A</v>
      </c>
      <c r="AG438" s="306">
        <f t="shared" ca="1" si="201"/>
        <v>5.5956041734199218</v>
      </c>
      <c r="AH438" s="304">
        <f t="shared" ca="1" si="202"/>
        <v>-4.1182218575145093</v>
      </c>
    </row>
    <row r="439" spans="1:34" x14ac:dyDescent="0.2">
      <c r="A439" s="347">
        <f t="shared" ca="1" si="180"/>
        <v>0.1</v>
      </c>
      <c r="B439" s="304">
        <f t="shared" ca="1" si="181"/>
        <v>32.100000000000158</v>
      </c>
      <c r="D439" s="306">
        <f t="shared" ca="1" si="182"/>
        <v>-0.57664872589228844</v>
      </c>
      <c r="E439" s="307">
        <f t="shared" ca="1" si="183"/>
        <v>-5.6826657616219514</v>
      </c>
      <c r="F439" s="304">
        <f t="shared" ca="1" si="184"/>
        <v>5.7118485546610556</v>
      </c>
      <c r="G439" s="306">
        <f t="shared" ca="1" si="185"/>
        <v>14.253931300397838</v>
      </c>
      <c r="H439" s="307">
        <f t="shared" ca="1" si="186"/>
        <v>-103.00279601903684</v>
      </c>
      <c r="I439" s="304">
        <f t="shared" ca="1" si="187"/>
        <v>103.98437644788649</v>
      </c>
      <c r="J439" s="306">
        <f t="shared" ca="1" si="188"/>
        <v>603.2323477227568</v>
      </c>
      <c r="K439" s="307">
        <f t="shared" ca="1" si="189"/>
        <v>1160.3488522337798</v>
      </c>
      <c r="L439" s="304">
        <f t="shared" ca="1" si="174"/>
        <v>1307.7838981343052</v>
      </c>
      <c r="M439" s="306">
        <f t="shared" ca="1" si="190"/>
        <v>-1.4332857436400248</v>
      </c>
      <c r="N439" s="304">
        <f t="shared" ca="1" si="191"/>
        <v>-82.121223946843102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4.0843000000000034</v>
      </c>
      <c r="T439" s="304">
        <f t="shared" ca="1" si="175"/>
        <v>40.066983000000036</v>
      </c>
      <c r="U439" s="311">
        <f t="shared" ca="1" si="176"/>
        <v>0</v>
      </c>
      <c r="V439" s="306">
        <f t="shared" ca="1" si="177"/>
        <v>1.0906518043334312</v>
      </c>
      <c r="W439" s="304">
        <f t="shared" ca="1" si="178"/>
        <v>17.221874386541092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 t="e">
        <f t="shared" ca="1" si="179"/>
        <v>#N/A</v>
      </c>
      <c r="AG439" s="306">
        <f t="shared" ca="1" si="201"/>
        <v>5.5482102654424548</v>
      </c>
      <c r="AH439" s="304">
        <f t="shared" ca="1" si="202"/>
        <v>-4.1674226649526336</v>
      </c>
    </row>
    <row r="440" spans="1:34" x14ac:dyDescent="0.2">
      <c r="A440" s="347">
        <f t="shared" ca="1" si="180"/>
        <v>0.1</v>
      </c>
      <c r="B440" s="304">
        <f t="shared" ca="1" si="181"/>
        <v>32.200000000000159</v>
      </c>
      <c r="D440" s="306">
        <f t="shared" ca="1" si="182"/>
        <v>-0.57800201478531366</v>
      </c>
      <c r="E440" s="307">
        <f t="shared" ca="1" si="183"/>
        <v>-5.6331997634321223</v>
      </c>
      <c r="F440" s="304">
        <f t="shared" ca="1" si="184"/>
        <v>5.6627754594216073</v>
      </c>
      <c r="G440" s="306">
        <f t="shared" ca="1" si="185"/>
        <v>14.196131098919306</v>
      </c>
      <c r="H440" s="307">
        <f t="shared" ca="1" si="186"/>
        <v>-103.56611599538004</v>
      </c>
      <c r="I440" s="304">
        <f t="shared" ca="1" si="187"/>
        <v>104.53454223626858</v>
      </c>
      <c r="J440" s="306">
        <f t="shared" ca="1" si="188"/>
        <v>604.65485084272268</v>
      </c>
      <c r="K440" s="307">
        <f t="shared" ca="1" si="189"/>
        <v>1150.0204066330589</v>
      </c>
      <c r="L440" s="304">
        <f t="shared" ca="1" si="174"/>
        <v>1299.2899692986555</v>
      </c>
      <c r="M440" s="306">
        <f t="shared" ca="1" si="190"/>
        <v>-1.4345721431761849</v>
      </c>
      <c r="N440" s="304">
        <f t="shared" ca="1" si="191"/>
        <v>-82.194929211032658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4.0843000000000034</v>
      </c>
      <c r="T440" s="304">
        <f t="shared" ca="1" si="175"/>
        <v>40.066983000000036</v>
      </c>
      <c r="U440" s="311">
        <f t="shared" ca="1" si="176"/>
        <v>0</v>
      </c>
      <c r="V440" s="306">
        <f t="shared" ca="1" si="177"/>
        <v>1.0917826346225483</v>
      </c>
      <c r="W440" s="304">
        <f t="shared" ca="1" si="178"/>
        <v>17.422638965437791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 t="e">
        <f t="shared" ca="1" si="179"/>
        <v>#N/A</v>
      </c>
      <c r="AG440" s="306">
        <f t="shared" ca="1" si="201"/>
        <v>5.5007929527154475</v>
      </c>
      <c r="AH440" s="304">
        <f t="shared" ca="1" si="202"/>
        <v>-4.2166036742014734</v>
      </c>
    </row>
    <row r="441" spans="1:34" x14ac:dyDescent="0.2">
      <c r="A441" s="347">
        <f t="shared" ca="1" si="180"/>
        <v>0.1</v>
      </c>
      <c r="B441" s="304">
        <f t="shared" ca="1" si="181"/>
        <v>32.300000000000161</v>
      </c>
      <c r="D441" s="306">
        <f t="shared" ca="1" si="182"/>
        <v>-0.57930394014791597</v>
      </c>
      <c r="E441" s="307">
        <f t="shared" ca="1" si="183"/>
        <v>-5.5837598614803587</v>
      </c>
      <c r="F441" s="304">
        <f t="shared" ca="1" si="184"/>
        <v>5.6137302434076801</v>
      </c>
      <c r="G441" s="306">
        <f t="shared" ca="1" si="185"/>
        <v>14.138200704904515</v>
      </c>
      <c r="H441" s="307">
        <f t="shared" ca="1" si="186"/>
        <v>-104.12449198152808</v>
      </c>
      <c r="I441" s="304">
        <f t="shared" ca="1" si="187"/>
        <v>105.07996264551804</v>
      </c>
      <c r="J441" s="306">
        <f t="shared" ca="1" si="188"/>
        <v>606.07156743291387</v>
      </c>
      <c r="K441" s="307">
        <f t="shared" ca="1" si="189"/>
        <v>1139.6358762342136</v>
      </c>
      <c r="L441" s="304">
        <f t="shared" ca="1" si="174"/>
        <v>1290.77212367277</v>
      </c>
      <c r="M441" s="306">
        <f t="shared" ca="1" si="190"/>
        <v>-1.4358399684163348</v>
      </c>
      <c r="N441" s="304">
        <f t="shared" ca="1" si="191"/>
        <v>-82.267570246453403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4.0843000000000034</v>
      </c>
      <c r="T441" s="304">
        <f t="shared" ca="1" si="175"/>
        <v>40.066983000000036</v>
      </c>
      <c r="U441" s="311">
        <f t="shared" ca="1" si="176"/>
        <v>0</v>
      </c>
      <c r="V441" s="306">
        <f t="shared" ca="1" si="177"/>
        <v>1.0929207194901218</v>
      </c>
      <c r="W441" s="304">
        <f t="shared" ca="1" si="178"/>
        <v>17.62327386184522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 t="e">
        <f t="shared" ca="1" si="179"/>
        <v>#N/A</v>
      </c>
      <c r="AG441" s="306">
        <f t="shared" ca="1" si="201"/>
        <v>5.4533595750149679</v>
      </c>
      <c r="AH441" s="304">
        <f t="shared" ca="1" si="202"/>
        <v>-4.2657588731086786</v>
      </c>
    </row>
    <row r="442" spans="1:34" x14ac:dyDescent="0.2">
      <c r="A442" s="347">
        <f t="shared" ca="1" si="180"/>
        <v>0.1</v>
      </c>
      <c r="B442" s="304">
        <f t="shared" ca="1" si="181"/>
        <v>32.400000000000162</v>
      </c>
      <c r="D442" s="306">
        <f t="shared" ca="1" si="182"/>
        <v>-0.58055475782624</v>
      </c>
      <c r="E442" s="307">
        <f t="shared" ca="1" si="183"/>
        <v>-5.5343520241478572</v>
      </c>
      <c r="F442" s="304">
        <f t="shared" ca="1" si="184"/>
        <v>5.5647188746624181</v>
      </c>
      <c r="G442" s="306">
        <f t="shared" ca="1" si="185"/>
        <v>14.080145229121891</v>
      </c>
      <c r="H442" s="307">
        <f t="shared" ca="1" si="186"/>
        <v>-104.67792718394287</v>
      </c>
      <c r="I442" s="304">
        <f t="shared" ca="1" si="187"/>
        <v>105.6206368528424</v>
      </c>
      <c r="J442" s="306">
        <f t="shared" ca="1" si="188"/>
        <v>607.48248472961518</v>
      </c>
      <c r="K442" s="307">
        <f t="shared" ca="1" si="189"/>
        <v>1129.19575527594</v>
      </c>
      <c r="L442" s="304">
        <f t="shared" ca="1" si="174"/>
        <v>1282.2316573016233</v>
      </c>
      <c r="M442" s="306">
        <f t="shared" ca="1" si="190"/>
        <v>-1.437089636193061</v>
      </c>
      <c r="N442" s="304">
        <f t="shared" ca="1" si="191"/>
        <v>-82.339170935853318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4.0843000000000034</v>
      </c>
      <c r="T442" s="304">
        <f t="shared" ca="1" si="175"/>
        <v>40.066983000000036</v>
      </c>
      <c r="U442" s="311">
        <f t="shared" ca="1" si="176"/>
        <v>0</v>
      </c>
      <c r="V442" s="306">
        <f t="shared" ca="1" si="177"/>
        <v>1.0940660244493567</v>
      </c>
      <c r="W442" s="304">
        <f t="shared" ca="1" si="178"/>
        <v>17.823755104015031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 t="e">
        <f t="shared" ca="1" si="179"/>
        <v>#N/A</v>
      </c>
      <c r="AG442" s="306">
        <f t="shared" ca="1" si="201"/>
        <v>5.4059173506875213</v>
      </c>
      <c r="AH442" s="304">
        <f t="shared" ca="1" si="202"/>
        <v>-4.3148823205555926</v>
      </c>
    </row>
    <row r="443" spans="1:34" x14ac:dyDescent="0.2">
      <c r="A443" s="347">
        <f t="shared" ca="1" si="180"/>
        <v>0.1</v>
      </c>
      <c r="B443" s="304">
        <f t="shared" ca="1" si="181"/>
        <v>32.500000000000163</v>
      </c>
      <c r="D443" s="306">
        <f t="shared" ca="1" si="182"/>
        <v>-0.58175473203070527</v>
      </c>
      <c r="E443" s="307">
        <f t="shared" ca="1" si="183"/>
        <v>-5.4849821477358267</v>
      </c>
      <c r="F443" s="304">
        <f t="shared" ca="1" si="184"/>
        <v>5.5157472503026135</v>
      </c>
      <c r="G443" s="306">
        <f t="shared" ca="1" si="185"/>
        <v>14.021969755918821</v>
      </c>
      <c r="H443" s="307">
        <f t="shared" ca="1" si="186"/>
        <v>-105.22642539871646</v>
      </c>
      <c r="I443" s="304">
        <f t="shared" ca="1" si="187"/>
        <v>106.15656474296605</v>
      </c>
      <c r="J443" s="306">
        <f t="shared" ca="1" si="188"/>
        <v>608.8875904788672</v>
      </c>
      <c r="K443" s="307">
        <f t="shared" ca="1" si="189"/>
        <v>1118.7005376468071</v>
      </c>
      <c r="L443" s="304">
        <f t="shared" ca="1" si="174"/>
        <v>1273.6698908156759</v>
      </c>
      <c r="M443" s="306">
        <f t="shared" ca="1" si="190"/>
        <v>-1.4383215508251372</v>
      </c>
      <c r="N443" s="304">
        <f t="shared" ca="1" si="191"/>
        <v>-82.409754444991691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4.0843000000000034</v>
      </c>
      <c r="T443" s="304">
        <f t="shared" ca="1" si="175"/>
        <v>40.066983000000036</v>
      </c>
      <c r="U443" s="311">
        <f t="shared" ca="1" si="176"/>
        <v>0</v>
      </c>
      <c r="V443" s="306">
        <f t="shared" ca="1" si="177"/>
        <v>1.0952185149910707</v>
      </c>
      <c r="W443" s="304">
        <f t="shared" ca="1" si="178"/>
        <v>18.024059017037498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 t="e">
        <f t="shared" ca="1" si="179"/>
        <v>#N/A</v>
      </c>
      <c r="AG443" s="306">
        <f t="shared" ca="1" si="201"/>
        <v>5.3584733780741765</v>
      </c>
      <c r="AH443" s="304">
        <f t="shared" ca="1" si="202"/>
        <v>-4.3639681472994187</v>
      </c>
    </row>
    <row r="444" spans="1:34" x14ac:dyDescent="0.2">
      <c r="A444" s="347">
        <f t="shared" ca="1" si="180"/>
        <v>0.1</v>
      </c>
      <c r="B444" s="304">
        <f t="shared" ca="1" si="181"/>
        <v>32.600000000000165</v>
      </c>
      <c r="D444" s="306">
        <f t="shared" ca="1" si="182"/>
        <v>-0.58290413512796191</v>
      </c>
      <c r="E444" s="307">
        <f t="shared" ca="1" si="183"/>
        <v>-5.4356560556511759</v>
      </c>
      <c r="F444" s="304">
        <f t="shared" ca="1" si="184"/>
        <v>5.466821195730347</v>
      </c>
      <c r="G444" s="306">
        <f t="shared" ca="1" si="185"/>
        <v>13.963679342406024</v>
      </c>
      <c r="H444" s="307">
        <f t="shared" ca="1" si="186"/>
        <v>-105.76999100428158</v>
      </c>
      <c r="I444" s="304">
        <f t="shared" ca="1" si="187"/>
        <v>106.68774689636736</v>
      </c>
      <c r="J444" s="306">
        <f t="shared" ca="1" si="188"/>
        <v>610.28687293378346</v>
      </c>
      <c r="K444" s="307">
        <f t="shared" ca="1" si="189"/>
        <v>1108.1507168266571</v>
      </c>
      <c r="L444" s="304">
        <f t="shared" ca="1" si="174"/>
        <v>1265.0881702390272</v>
      </c>
      <c r="M444" s="306">
        <f t="shared" ca="1" si="190"/>
        <v>-1.4395361045786754</v>
      </c>
      <c r="N444" s="304">
        <f t="shared" ca="1" si="191"/>
        <v>-82.479343249061202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4.0843000000000034</v>
      </c>
      <c r="T444" s="304">
        <f t="shared" ca="1" si="175"/>
        <v>40.066983000000036</v>
      </c>
      <c r="U444" s="311">
        <f t="shared" ca="1" si="176"/>
        <v>0</v>
      </c>
      <c r="V444" s="306">
        <f t="shared" ca="1" si="177"/>
        <v>1.0963781565875861</v>
      </c>
      <c r="W444" s="304">
        <f t="shared" ca="1" si="178"/>
        <v>18.224162225955066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 t="e">
        <f t="shared" ca="1" si="199"/>
        <v>#N/A</v>
      </c>
      <c r="AD444" s="323" t="e">
        <f t="shared" ca="1" si="200"/>
        <v>#N/A</v>
      </c>
      <c r="AE444" s="324" t="e">
        <f t="shared" ca="1" si="179"/>
        <v>#N/A</v>
      </c>
      <c r="AG444" s="306">
        <f t="shared" ca="1" si="201"/>
        <v>5.3110346368574719</v>
      </c>
      <c r="AH444" s="304">
        <f t="shared" ca="1" si="202"/>
        <v>-4.4130105567753306</v>
      </c>
    </row>
    <row r="445" spans="1:34" x14ac:dyDescent="0.2">
      <c r="A445" s="347">
        <f t="shared" ca="1" si="180"/>
        <v>0.1</v>
      </c>
      <c r="B445" s="304">
        <f t="shared" ca="1" si="181"/>
        <v>32.700000000000166</v>
      </c>
      <c r="D445" s="306">
        <f t="shared" ca="1" si="182"/>
        <v>-0.58400324743386689</v>
      </c>
      <c r="E445" s="307">
        <f t="shared" ca="1" si="183"/>
        <v>-5.3863794976326052</v>
      </c>
      <c r="F445" s="304">
        <f t="shared" ca="1" si="184"/>
        <v>5.4179464638855723</v>
      </c>
      <c r="G445" s="306">
        <f t="shared" ca="1" si="185"/>
        <v>13.905279017662638</v>
      </c>
      <c r="H445" s="307">
        <f t="shared" ca="1" si="186"/>
        <v>-106.30862895404483</v>
      </c>
      <c r="I445" s="304">
        <f t="shared" ca="1" si="187"/>
        <v>107.21418457763799</v>
      </c>
      <c r="J445" s="306">
        <f t="shared" ca="1" si="188"/>
        <v>611.68032085178686</v>
      </c>
      <c r="K445" s="307">
        <f t="shared" ca="1" si="189"/>
        <v>1097.5467858287409</v>
      </c>
      <c r="L445" s="304">
        <f t="shared" ca="1" si="174"/>
        <v>1256.4878678285536</v>
      </c>
      <c r="M445" s="306">
        <f t="shared" ca="1" si="190"/>
        <v>-1.4407336781082134</v>
      </c>
      <c r="N445" s="304">
        <f t="shared" ca="1" si="191"/>
        <v>-82.547959157960321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4.0843000000000034</v>
      </c>
      <c r="T445" s="304">
        <f t="shared" ca="1" si="175"/>
        <v>40.066983000000036</v>
      </c>
      <c r="U445" s="311">
        <f t="shared" ca="1" si="176"/>
        <v>0</v>
      </c>
      <c r="V445" s="306">
        <f t="shared" ca="1" si="177"/>
        <v>1.0975449146965934</v>
      </c>
      <c r="W445" s="304">
        <f t="shared" ca="1" si="178"/>
        <v>18.424041658714174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 t="e">
        <f t="shared" ca="1" si="179"/>
        <v>#N/A</v>
      </c>
      <c r="AG445" s="306">
        <f t="shared" ca="1" si="201"/>
        <v>5.2636079893376948</v>
      </c>
      <c r="AH445" s="304">
        <f t="shared" ca="1" si="202"/>
        <v>-4.4620038258587886</v>
      </c>
    </row>
    <row r="446" spans="1:34" x14ac:dyDescent="0.2">
      <c r="A446" s="347">
        <f t="shared" ca="1" si="180"/>
        <v>0.1</v>
      </c>
      <c r="B446" s="304">
        <f t="shared" ca="1" si="181"/>
        <v>32.800000000000168</v>
      </c>
      <c r="D446" s="306">
        <f t="shared" ca="1" si="182"/>
        <v>-0.58505235700749081</v>
      </c>
      <c r="E446" s="307">
        <f t="shared" ca="1" si="183"/>
        <v>-5.3371581490168953</v>
      </c>
      <c r="F446" s="304">
        <f t="shared" ca="1" si="184"/>
        <v>5.3691287345394754</v>
      </c>
      <c r="G446" s="306">
        <f t="shared" ca="1" si="185"/>
        <v>13.846773781961888</v>
      </c>
      <c r="H446" s="307">
        <f t="shared" ca="1" si="186"/>
        <v>-106.84234476894652</v>
      </c>
      <c r="I446" s="304">
        <f t="shared" ca="1" si="187"/>
        <v>107.73587972395855</v>
      </c>
      <c r="J446" s="306">
        <f t="shared" ca="1" si="188"/>
        <v>613.06792349176806</v>
      </c>
      <c r="K446" s="307">
        <f t="shared" ca="1" si="189"/>
        <v>1086.8892371425914</v>
      </c>
      <c r="L446" s="304">
        <f t="shared" ca="1" si="174"/>
        <v>1247.8703829448443</v>
      </c>
      <c r="M446" s="306">
        <f t="shared" ca="1" si="190"/>
        <v>-1.4419146408787433</v>
      </c>
      <c r="N446" s="304">
        <f t="shared" ca="1" si="191"/>
        <v>-82.615623340473761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4.0843000000000034</v>
      </c>
      <c r="T446" s="304">
        <f t="shared" ca="1" si="175"/>
        <v>40.066983000000036</v>
      </c>
      <c r="U446" s="311">
        <f t="shared" ca="1" si="176"/>
        <v>0</v>
      </c>
      <c r="V446" s="306">
        <f t="shared" ca="1" si="177"/>
        <v>1.0987187547649782</v>
      </c>
      <c r="W446" s="304">
        <f t="shared" ca="1" si="178"/>
        <v>18.623674548956398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 t="e">
        <f t="shared" ca="1" si="179"/>
        <v>#N/A</v>
      </c>
      <c r="AG446" s="306">
        <f t="shared" ca="1" si="201"/>
        <v>5.216200181644699</v>
      </c>
      <c r="AH446" s="304">
        <f t="shared" ca="1" si="202"/>
        <v>-4.5109423055882667</v>
      </c>
    </row>
    <row r="447" spans="1:34" x14ac:dyDescent="0.2">
      <c r="A447" s="347">
        <f t="shared" ca="1" si="180"/>
        <v>0.1</v>
      </c>
      <c r="B447" s="304">
        <f t="shared" ca="1" si="181"/>
        <v>32.900000000000169</v>
      </c>
      <c r="D447" s="306">
        <f t="shared" ca="1" si="182"/>
        <v>-0.5860517594461816</v>
      </c>
      <c r="E447" s="307">
        <f t="shared" ca="1" si="183"/>
        <v>-5.2879976100450925</v>
      </c>
      <c r="F447" s="304">
        <f t="shared" ca="1" si="184"/>
        <v>5.3203736136283304</v>
      </c>
      <c r="G447" s="306">
        <f t="shared" ca="1" si="185"/>
        <v>13.788168606017269</v>
      </c>
      <c r="H447" s="307">
        <f t="shared" ca="1" si="186"/>
        <v>-107.37114452995102</v>
      </c>
      <c r="I447" s="304">
        <f t="shared" ca="1" si="187"/>
        <v>108.25283493368472</v>
      </c>
      <c r="J447" s="306">
        <f t="shared" ca="1" si="188"/>
        <v>614.44967061116699</v>
      </c>
      <c r="K447" s="307">
        <f t="shared" ca="1" si="189"/>
        <v>1076.1785626776464</v>
      </c>
      <c r="L447" s="304">
        <f t="shared" ca="1" si="174"/>
        <v>1239.2371429557363</v>
      </c>
      <c r="M447" s="306">
        <f t="shared" ca="1" si="190"/>
        <v>-1.4430793515696252</v>
      </c>
      <c r="N447" s="304">
        <f t="shared" ca="1" si="191"/>
        <v>-82.682356347415052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4.0843000000000034</v>
      </c>
      <c r="T447" s="304">
        <f t="shared" ca="1" si="175"/>
        <v>40.066983000000036</v>
      </c>
      <c r="U447" s="311">
        <f t="shared" ca="1" si="176"/>
        <v>0</v>
      </c>
      <c r="V447" s="306">
        <f t="shared" ca="1" si="177"/>
        <v>1.0998996422326164</v>
      </c>
      <c r="W447" s="304">
        <f t="shared" ca="1" si="178"/>
        <v>18.823038438650105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 t="e">
        <f t="shared" ca="1" si="179"/>
        <v>#N/A</v>
      </c>
      <c r="AG447" s="306">
        <f t="shared" ca="1" si="201"/>
        <v>5.1688178448910334</v>
      </c>
      <c r="AH447" s="304">
        <f t="shared" ca="1" si="202"/>
        <v>-4.5598204218486353</v>
      </c>
    </row>
    <row r="448" spans="1:34" x14ac:dyDescent="0.2">
      <c r="A448" s="347">
        <f t="shared" ca="1" si="180"/>
        <v>0.1</v>
      </c>
      <c r="B448" s="304">
        <f t="shared" ca="1" si="181"/>
        <v>33.000000000000171</v>
      </c>
      <c r="D448" s="306">
        <f t="shared" ca="1" si="182"/>
        <v>-0.5870017576817218</v>
      </c>
      <c r="E448" s="307">
        <f t="shared" ca="1" si="183"/>
        <v>-5.2389034052082959</v>
      </c>
      <c r="F448" s="304">
        <f t="shared" ca="1" si="184"/>
        <v>5.2716866326275991</v>
      </c>
      <c r="G448" s="306">
        <f t="shared" ca="1" si="185"/>
        <v>13.729468430249097</v>
      </c>
      <c r="H448" s="307">
        <f t="shared" ca="1" si="186"/>
        <v>-107.89503487047186</v>
      </c>
      <c r="I448" s="304">
        <f t="shared" ca="1" si="187"/>
        <v>108.76505345503925</v>
      </c>
      <c r="J448" s="306">
        <f t="shared" ca="1" si="188"/>
        <v>615.82555246298034</v>
      </c>
      <c r="K448" s="307">
        <f t="shared" ca="1" si="189"/>
        <v>1065.4152537076252</v>
      </c>
      <c r="L448" s="304">
        <f t="shared" ca="1" si="174"/>
        <v>1230.5896041732265</v>
      </c>
      <c r="M448" s="306">
        <f t="shared" ca="1" si="190"/>
        <v>-1.4442281584612808</v>
      </c>
      <c r="N448" s="304">
        <f t="shared" ca="1" si="191"/>
        <v>-82.74817813378246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4.0843000000000034</v>
      </c>
      <c r="T448" s="304">
        <f t="shared" ca="1" si="175"/>
        <v>40.066983000000036</v>
      </c>
      <c r="U448" s="311">
        <f t="shared" ca="1" si="176"/>
        <v>0</v>
      </c>
      <c r="V448" s="306">
        <f t="shared" ca="1" si="177"/>
        <v>1.1010875425361359</v>
      </c>
      <c r="W448" s="304">
        <f t="shared" ca="1" si="178"/>
        <v>19.022111180563861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>
        <f t="shared" ca="1" si="199"/>
        <v>33.000000000000171</v>
      </c>
      <c r="AD448" s="323">
        <f t="shared" ca="1" si="200"/>
        <v>615.82555246298034</v>
      </c>
      <c r="AE448" s="324" t="e">
        <f t="shared" ca="1" si="179"/>
        <v>#N/A</v>
      </c>
      <c r="AG448" s="306">
        <f t="shared" ca="1" si="201"/>
        <v>5.1214674962716664</v>
      </c>
      <c r="AH448" s="304">
        <f t="shared" ca="1" si="202"/>
        <v>-4.6086326760154961</v>
      </c>
    </row>
    <row r="449" spans="1:34" x14ac:dyDescent="0.2">
      <c r="A449" s="347">
        <f t="shared" ca="1" si="180"/>
        <v>0.1</v>
      </c>
      <c r="B449" s="304">
        <f t="shared" ca="1" si="181"/>
        <v>33.100000000000172</v>
      </c>
      <c r="D449" s="306">
        <f t="shared" ca="1" si="182"/>
        <v>-0.58790266177760198</v>
      </c>
      <c r="E449" s="307">
        <f t="shared" ca="1" si="183"/>
        <v>-5.1898809826327197</v>
      </c>
      <c r="F449" s="304">
        <f t="shared" ca="1" si="184"/>
        <v>5.2230732479659858</v>
      </c>
      <c r="G449" s="306">
        <f t="shared" ca="1" si="185"/>
        <v>13.670678164071337</v>
      </c>
      <c r="H449" s="307">
        <f t="shared" ca="1" si="186"/>
        <v>-108.41402296873514</v>
      </c>
      <c r="I449" s="304">
        <f t="shared" ca="1" si="187"/>
        <v>109.27253917490454</v>
      </c>
      <c r="J449" s="306">
        <f t="shared" ca="1" si="188"/>
        <v>617.19555979269637</v>
      </c>
      <c r="K449" s="307">
        <f t="shared" ca="1" si="189"/>
        <v>1054.5998008156648</v>
      </c>
      <c r="L449" s="304">
        <f t="shared" ca="1" si="174"/>
        <v>1221.9292528245076</v>
      </c>
      <c r="M449" s="306">
        <f t="shared" ca="1" si="190"/>
        <v>-1.4453613998055113</v>
      </c>
      <c r="N449" s="304">
        <f t="shared" ca="1" si="191"/>
        <v>-82.813108079976601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4.0843000000000034</v>
      </c>
      <c r="T449" s="304">
        <f t="shared" ca="1" si="175"/>
        <v>40.066983000000036</v>
      </c>
      <c r="U449" s="311">
        <f t="shared" ca="1" si="176"/>
        <v>0</v>
      </c>
      <c r="V449" s="306">
        <f t="shared" ca="1" si="177"/>
        <v>1.1022824211126407</v>
      </c>
      <c r="W449" s="304">
        <f t="shared" ca="1" si="178"/>
        <v>19.220870940582646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 t="e">
        <f t="shared" ca="1" si="179"/>
        <v>#N/A</v>
      </c>
      <c r="AG449" s="306">
        <f t="shared" ca="1" si="201"/>
        <v>5.0741555401152718</v>
      </c>
      <c r="AH449" s="304">
        <f t="shared" ca="1" si="202"/>
        <v>-4.6573736455607682</v>
      </c>
    </row>
    <row r="450" spans="1:34" x14ac:dyDescent="0.2">
      <c r="A450" s="347">
        <f t="shared" ca="1" si="180"/>
        <v>0.1</v>
      </c>
      <c r="B450" s="304">
        <f t="shared" ca="1" si="181"/>
        <v>33.200000000000173</v>
      </c>
      <c r="D450" s="306">
        <f t="shared" ca="1" si="182"/>
        <v>-0.58875478872744247</v>
      </c>
      <c r="E450" s="307">
        <f t="shared" ca="1" si="183"/>
        <v>-5.1409357135037377</v>
      </c>
      <c r="F450" s="304">
        <f t="shared" ca="1" si="184"/>
        <v>5.1745388404791859</v>
      </c>
      <c r="G450" s="306">
        <f t="shared" ca="1" si="185"/>
        <v>13.611802685198592</v>
      </c>
      <c r="H450" s="307">
        <f t="shared" ca="1" si="186"/>
        <v>-108.92811654008551</v>
      </c>
      <c r="I450" s="304">
        <f t="shared" ca="1" si="187"/>
        <v>109.77529660771238</v>
      </c>
      <c r="J450" s="306">
        <f t="shared" ca="1" si="188"/>
        <v>618.55968383515983</v>
      </c>
      <c r="K450" s="307">
        <f t="shared" ca="1" si="189"/>
        <v>1043.7326938402239</v>
      </c>
      <c r="L450" s="304">
        <f t="shared" ca="1" si="174"/>
        <v>1213.2576060578492</v>
      </c>
      <c r="M450" s="306">
        <f t="shared" ca="1" si="190"/>
        <v>-1.4464794041802345</v>
      </c>
      <c r="N450" s="304">
        <f t="shared" ca="1" si="191"/>
        <v>-82.877165012125403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4.0843000000000034</v>
      </c>
      <c r="T450" s="304">
        <f t="shared" ca="1" si="175"/>
        <v>40.066983000000036</v>
      </c>
      <c r="U450" s="311">
        <f t="shared" ca="1" si="176"/>
        <v>0</v>
      </c>
      <c r="V450" s="306">
        <f t="shared" ca="1" si="177"/>
        <v>1.1034842434034025</v>
      </c>
      <c r="W450" s="304">
        <f t="shared" ca="1" si="178"/>
        <v>19.419296199868526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 t="e">
        <f t="shared" ca="1" si="179"/>
        <v>#N/A</v>
      </c>
      <c r="AG450" s="306">
        <f t="shared" ca="1" si="201"/>
        <v>5.0268882688917014</v>
      </c>
      <c r="AH450" s="304">
        <f t="shared" ca="1" si="202"/>
        <v>-4.7060379846197957</v>
      </c>
    </row>
    <row r="451" spans="1:34" x14ac:dyDescent="0.2">
      <c r="A451" s="347">
        <f t="shared" ca="1" si="180"/>
        <v>0.1</v>
      </c>
      <c r="B451" s="304">
        <f t="shared" ca="1" si="181"/>
        <v>33.300000000000175</v>
      </c>
      <c r="D451" s="306">
        <f t="shared" ca="1" si="182"/>
        <v>-0.58955846225460717</v>
      </c>
      <c r="E451" s="307">
        <f t="shared" ca="1" si="183"/>
        <v>-5.0920728915285096</v>
      </c>
      <c r="F451" s="304">
        <f t="shared" ca="1" si="184"/>
        <v>5.1260887149029655</v>
      </c>
      <c r="G451" s="306">
        <f t="shared" ca="1" si="185"/>
        <v>13.552846838973132</v>
      </c>
      <c r="H451" s="307">
        <f t="shared" ca="1" si="186"/>
        <v>-109.43732382923837</v>
      </c>
      <c r="I451" s="304">
        <f t="shared" ca="1" si="187"/>
        <v>110.27333088442666</v>
      </c>
      <c r="J451" s="306">
        <f t="shared" ca="1" si="188"/>
        <v>619.91791631136846</v>
      </c>
      <c r="K451" s="307">
        <f t="shared" ca="1" si="189"/>
        <v>1032.8144218217576</v>
      </c>
      <c r="L451" s="304">
        <f t="shared" ca="1" si="174"/>
        <v>1204.5762129839857</v>
      </c>
      <c r="M451" s="306">
        <f t="shared" ca="1" si="190"/>
        <v>-1.4475824908293986</v>
      </c>
      <c r="N451" s="304">
        <f t="shared" ca="1" si="191"/>
        <v>-82.94036722155974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4.0843000000000034</v>
      </c>
      <c r="T451" s="304">
        <f t="shared" ca="1" si="175"/>
        <v>40.066983000000036</v>
      </c>
      <c r="U451" s="311">
        <f t="shared" ca="1" si="176"/>
        <v>0</v>
      </c>
      <c r="V451" s="306">
        <f t="shared" ca="1" si="177"/>
        <v>1.1046929748575165</v>
      </c>
      <c r="W451" s="304">
        <f t="shared" ca="1" si="178"/>
        <v>19.617365756867098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 t="e">
        <f t="shared" ca="1" si="179"/>
        <v>#N/A</v>
      </c>
      <c r="AG451" s="306">
        <f t="shared" ca="1" si="201"/>
        <v>4.9796718641799043</v>
      </c>
      <c r="AH451" s="304">
        <f t="shared" ca="1" si="202"/>
        <v>-4.7546204245203612</v>
      </c>
    </row>
    <row r="452" spans="1:34" x14ac:dyDescent="0.2">
      <c r="A452" s="347">
        <f t="shared" ca="1" si="180"/>
        <v>0.1</v>
      </c>
      <c r="B452" s="304">
        <f t="shared" ca="1" si="181"/>
        <v>33.400000000000176</v>
      </c>
      <c r="D452" s="306">
        <f t="shared" ca="1" si="182"/>
        <v>-0.59031401261303373</v>
      </c>
      <c r="E452" s="307">
        <f t="shared" ca="1" si="183"/>
        <v>-5.0432977324368249</v>
      </c>
      <c r="F452" s="304">
        <f t="shared" ca="1" si="184"/>
        <v>5.0777280994052569</v>
      </c>
      <c r="G452" s="306">
        <f t="shared" ca="1" si="185"/>
        <v>13.493815437711827</v>
      </c>
      <c r="H452" s="307">
        <f t="shared" ca="1" si="186"/>
        <v>-109.94165360248205</v>
      </c>
      <c r="I452" s="304">
        <f t="shared" ca="1" si="187"/>
        <v>110.76664774161573</v>
      </c>
      <c r="J452" s="306">
        <f t="shared" ca="1" si="188"/>
        <v>621.27024942520268</v>
      </c>
      <c r="K452" s="307">
        <f t="shared" ca="1" si="189"/>
        <v>1021.8454729501716</v>
      </c>
      <c r="L452" s="304">
        <f t="shared" ref="L452:L515" ca="1" si="203">SQRT(pos_x^2+pos_z^2)</f>
        <v>1195.8866557536351</v>
      </c>
      <c r="M452" s="306">
        <f t="shared" ca="1" si="190"/>
        <v>-1.4486709699887821</v>
      </c>
      <c r="N452" s="304">
        <f t="shared" ca="1" si="191"/>
        <v>-83.002732483480358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4.0843000000000034</v>
      </c>
      <c r="T452" s="304">
        <f t="shared" ref="T452:T515" ca="1" si="204">m*g</f>
        <v>40.066983000000036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1.1059085809355167</v>
      </c>
      <c r="W452" s="304">
        <f t="shared" ref="W452:W515" ca="1" si="207">1/2*Rho*Sref*Cx*vit_xz^2</f>
        <v>19.815058729161052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 t="e">
        <f t="shared" ref="AE452:AE515" ca="1" si="208">IF(t&lt;T_para, pos_z, NA())</f>
        <v>#N/A</v>
      </c>
      <c r="AG452" s="306">
        <f t="shared" ca="1" si="201"/>
        <v>4.9325123976002443</v>
      </c>
      <c r="AH452" s="304">
        <f t="shared" ca="1" si="202"/>
        <v>-4.8031157742739472</v>
      </c>
    </row>
    <row r="453" spans="1:34" x14ac:dyDescent="0.2">
      <c r="A453" s="347">
        <f t="shared" ref="A453:A516" ca="1" si="209">IF(B452+0.01&lt;=T_ini+ROUNDUP(Temps_fin_propu,0), 0.01, IF(K452&gt;0, 0.1, 0.0001))</f>
        <v>0.1</v>
      </c>
      <c r="B453" s="304">
        <f t="shared" ref="B453:B516" ca="1" si="210">B452+pas</f>
        <v>33.500000000000178</v>
      </c>
      <c r="D453" s="306">
        <f t="shared" ref="D453:D516" ca="1" si="211">IF(AND(L452&lt;L_rampe,Poussee&lt;Poids*SIN(M452)),0,(-W452+Poussee)/m*COS(M452)-U452/m*SIN(M452))</f>
        <v>-0.59102177638931896</v>
      </c>
      <c r="E453" s="307">
        <f t="shared" ref="E453:E516" ca="1" si="212">IF(AND(L452&lt;L_rampe,Poussee&lt;Poids*SIN(M452)),0,(-W452+Poussee)/m*SIN(M452)+U452/m*COS(M452)-Poids/m)</f>
        <v>-4.9946153735198431</v>
      </c>
      <c r="F453" s="304">
        <f t="shared" ref="F453:F516" ca="1" si="213">SQRT(acc_x^2+acc_z^2)</f>
        <v>5.0294621451569892</v>
      </c>
      <c r="G453" s="306">
        <f t="shared" ref="G453:G516" ca="1" si="214">G452+acc_x*pas</f>
        <v>13.434713260072895</v>
      </c>
      <c r="H453" s="307">
        <f t="shared" ref="H453:H516" ca="1" si="215">H452+acc_z*pas</f>
        <v>-110.44111513983404</v>
      </c>
      <c r="I453" s="304">
        <f t="shared" ref="I453:I516" ca="1" si="216">SQRT(vit_x^2+vit_z^2)</f>
        <v>111.25525351061161</v>
      </c>
      <c r="J453" s="306">
        <f t="shared" ref="J453:J516" ca="1" si="217">J452+0.5*(vit_x+G452)*pas*(K452&gt;=0)</f>
        <v>622.61667586009196</v>
      </c>
      <c r="K453" s="307">
        <f t="shared" ref="K453:K516" ca="1" si="218">K452+0.5*(vit_z+H452)*pas</f>
        <v>1010.8263345130558</v>
      </c>
      <c r="L453" s="304">
        <f t="shared" ca="1" si="203"/>
        <v>1187.1905506716987</v>
      </c>
      <c r="M453" s="306">
        <f t="shared" ref="M453:M516" ca="1" si="219">IF(AND(L452&gt;L_rampe,G453&gt;0),ATAN2(G453,H453),$M$4)</f>
        <v>-1.4497451431983537</v>
      </c>
      <c r="N453" s="304">
        <f t="shared" ref="N453:N516" ca="1" si="220">DEGREES(Beta)</f>
        <v>-83.064278074854826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4.0843000000000034</v>
      </c>
      <c r="T453" s="304">
        <f t="shared" ca="1" si="204"/>
        <v>40.066983000000036</v>
      </c>
      <c r="U453" s="311">
        <f t="shared" ca="1" si="205"/>
        <v>0</v>
      </c>
      <c r="V453" s="306">
        <f t="shared" ca="1" si="206"/>
        <v>1.107131027112962</v>
      </c>
      <c r="W453" s="304">
        <f t="shared" ca="1" si="207"/>
        <v>20.012354555172756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 t="e">
        <f t="shared" ca="1" si="208"/>
        <v>#N/A</v>
      </c>
      <c r="AG453" s="306">
        <f t="shared" ref="AG453:AG516" ca="1" si="230">IF(AND(L452&lt;L_rampe,Poussee&lt;Poids*SIN(M452)),0,(-W452+Poussee)/m-Poids*SIN(M452)/m)</f>
        <v>4.8854158317149654</v>
      </c>
      <c r="AH453" s="304">
        <f t="shared" ref="AH453:AH516" ca="1" si="231">IF(AND(L452&lt;L_rampe,Poussee&lt;Poids*SIN(M452)), g*SIN(M452), (-W452+Poussee)/m)</f>
        <v>-4.8515189210295606</v>
      </c>
    </row>
    <row r="454" spans="1:34" x14ac:dyDescent="0.2">
      <c r="A454" s="347">
        <f t="shared" ca="1" si="209"/>
        <v>0.1</v>
      </c>
      <c r="B454" s="304">
        <f t="shared" ca="1" si="210"/>
        <v>33.600000000000179</v>
      </c>
      <c r="D454" s="306">
        <f t="shared" ca="1" si="211"/>
        <v>-0.59168209630611057</v>
      </c>
      <c r="E454" s="307">
        <f t="shared" ca="1" si="212"/>
        <v>-4.9460308732062259</v>
      </c>
      <c r="F454" s="304">
        <f t="shared" ca="1" si="213"/>
        <v>4.9812959259411942</v>
      </c>
      <c r="G454" s="306">
        <f t="shared" ca="1" si="214"/>
        <v>13.375545050442284</v>
      </c>
      <c r="H454" s="307">
        <f t="shared" ca="1" si="215"/>
        <v>-110.93571822715467</v>
      </c>
      <c r="I454" s="304">
        <f t="shared" ca="1" si="216"/>
        <v>111.73915510675329</v>
      </c>
      <c r="J454" s="306">
        <f t="shared" ca="1" si="217"/>
        <v>623.95718877561774</v>
      </c>
      <c r="K454" s="307">
        <f t="shared" ca="1" si="218"/>
        <v>999.75749284470635</v>
      </c>
      <c r="L454" s="304">
        <f t="shared" ca="1" si="203"/>
        <v>1178.4895493486163</v>
      </c>
      <c r="M454" s="306">
        <f t="shared" ca="1" si="219"/>
        <v>-1.4508053036018342</v>
      </c>
      <c r="N454" s="304">
        <f t="shared" ca="1" si="220"/>
        <v>-83.12502079158115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4.0843000000000034</v>
      </c>
      <c r="T454" s="304">
        <f t="shared" ca="1" si="204"/>
        <v>40.066983000000036</v>
      </c>
      <c r="U454" s="311">
        <f t="shared" ca="1" si="205"/>
        <v>0</v>
      </c>
      <c r="V454" s="306">
        <f t="shared" ca="1" si="206"/>
        <v>1.1083602788839766</v>
      </c>
      <c r="W454" s="304">
        <f t="shared" ca="1" si="207"/>
        <v>20.209232995717212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 t="e">
        <f t="shared" ca="1" si="228"/>
        <v>#N/A</v>
      </c>
      <c r="AD454" s="323" t="e">
        <f t="shared" ca="1" si="229"/>
        <v>#N/A</v>
      </c>
      <c r="AE454" s="324" t="e">
        <f t="shared" ca="1" si="208"/>
        <v>#N/A</v>
      </c>
      <c r="AG454" s="306">
        <f t="shared" ca="1" si="230"/>
        <v>4.8383880209001378</v>
      </c>
      <c r="AH454" s="304">
        <f t="shared" ca="1" si="231"/>
        <v>-4.8998248304905951</v>
      </c>
    </row>
    <row r="455" spans="1:34" x14ac:dyDescent="0.2">
      <c r="A455" s="347">
        <f t="shared" ca="1" si="209"/>
        <v>0.1</v>
      </c>
      <c r="B455" s="304">
        <f t="shared" ca="1" si="210"/>
        <v>33.70000000000018</v>
      </c>
      <c r="D455" s="306">
        <f t="shared" ca="1" si="211"/>
        <v>-0.59229532102681492</v>
      </c>
      <c r="E455" s="307">
        <f t="shared" ca="1" si="212"/>
        <v>-4.897549210675332</v>
      </c>
      <c r="F455" s="304">
        <f t="shared" ca="1" si="213"/>
        <v>4.9332344378000954</v>
      </c>
      <c r="G455" s="306">
        <f t="shared" ca="1" si="214"/>
        <v>13.316315518339602</v>
      </c>
      <c r="H455" s="307">
        <f t="shared" ca="1" si="215"/>
        <v>-111.4254731482222</v>
      </c>
      <c r="I455" s="304">
        <f t="shared" ca="1" si="216"/>
        <v>112.21836001871155</v>
      </c>
      <c r="J455" s="306">
        <f t="shared" ca="1" si="217"/>
        <v>625.29178180405688</v>
      </c>
      <c r="K455" s="307">
        <f t="shared" ca="1" si="218"/>
        <v>988.63943327593756</v>
      </c>
      <c r="L455" s="304">
        <f t="shared" ca="1" si="203"/>
        <v>1169.7853398892719</v>
      </c>
      <c r="M455" s="306">
        <f t="shared" ca="1" si="219"/>
        <v>-1.4518517362340582</v>
      </c>
      <c r="N455" s="304">
        <f t="shared" ca="1" si="220"/>
        <v>-83.184976964952355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4.0843000000000034</v>
      </c>
      <c r="T455" s="304">
        <f t="shared" ca="1" si="204"/>
        <v>40.066983000000036</v>
      </c>
      <c r="U455" s="311">
        <f t="shared" ca="1" si="205"/>
        <v>0</v>
      </c>
      <c r="V455" s="306">
        <f t="shared" ca="1" si="206"/>
        <v>1.1095963017647594</v>
      </c>
      <c r="W455" s="304">
        <f t="shared" ca="1" si="207"/>
        <v>20.405674135407235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 t="e">
        <f t="shared" ca="1" si="208"/>
        <v>#N/A</v>
      </c>
      <c r="AG455" s="306">
        <f t="shared" ca="1" si="230"/>
        <v>4.7914347121923422</v>
      </c>
      <c r="AH455" s="304">
        <f t="shared" ca="1" si="231"/>
        <v>-4.9480285472950554</v>
      </c>
    </row>
    <row r="456" spans="1:34" x14ac:dyDescent="0.2">
      <c r="A456" s="347">
        <f t="shared" ca="1" si="209"/>
        <v>0.1</v>
      </c>
      <c r="B456" s="304">
        <f t="shared" ca="1" si="210"/>
        <v>33.800000000000182</v>
      </c>
      <c r="D456" s="306">
        <f t="shared" ca="1" si="211"/>
        <v>-0.59286180496169372</v>
      </c>
      <c r="E456" s="307">
        <f t="shared" ca="1" si="212"/>
        <v>-4.8491752855069992</v>
      </c>
      <c r="F456" s="304">
        <f t="shared" ca="1" si="213"/>
        <v>4.8852825987197841</v>
      </c>
      <c r="G456" s="306">
        <f t="shared" ca="1" si="214"/>
        <v>13.257029337843433</v>
      </c>
      <c r="H456" s="307">
        <f t="shared" ca="1" si="215"/>
        <v>-111.91039067677289</v>
      </c>
      <c r="I456" s="304">
        <f t="shared" ca="1" si="216"/>
        <v>112.69287629789372</v>
      </c>
      <c r="J456" s="306">
        <f t="shared" ca="1" si="217"/>
        <v>626.62044904686604</v>
      </c>
      <c r="K456" s="307">
        <f t="shared" ca="1" si="218"/>
        <v>977.47264008468778</v>
      </c>
      <c r="L456" s="304">
        <f t="shared" ca="1" si="203"/>
        <v>1161.0796481197256</v>
      </c>
      <c r="M456" s="306">
        <f t="shared" ca="1" si="219"/>
        <v>-1.4528847182967108</v>
      </c>
      <c r="N456" s="304">
        <f t="shared" ca="1" si="220"/>
        <v>-83.244162477455063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4.0843000000000034</v>
      </c>
      <c r="T456" s="304">
        <f t="shared" ca="1" si="204"/>
        <v>40.066983000000036</v>
      </c>
      <c r="U456" s="311">
        <f t="shared" ca="1" si="205"/>
        <v>0</v>
      </c>
      <c r="V456" s="306">
        <f t="shared" ca="1" si="206"/>
        <v>1.1108390612970516</v>
      </c>
      <c r="W456" s="304">
        <f t="shared" ca="1" si="207"/>
        <v>20.601658383912614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 t="e">
        <f t="shared" ca="1" si="208"/>
        <v>#N/A</v>
      </c>
      <c r="AG456" s="306">
        <f t="shared" ca="1" si="230"/>
        <v>4.7445615461129771</v>
      </c>
      <c r="AH456" s="304">
        <f t="shared" ca="1" si="231"/>
        <v>-4.9961251953596006</v>
      </c>
    </row>
    <row r="457" spans="1:34" x14ac:dyDescent="0.2">
      <c r="A457" s="347">
        <f t="shared" ca="1" si="209"/>
        <v>0.1</v>
      </c>
      <c r="B457" s="304">
        <f t="shared" ca="1" si="210"/>
        <v>33.900000000000183</v>
      </c>
      <c r="D457" s="306">
        <f t="shared" ca="1" si="211"/>
        <v>-0.59338190807536295</v>
      </c>
      <c r="E457" s="307">
        <f t="shared" ca="1" si="212"/>
        <v>-4.8009139173674624</v>
      </c>
      <c r="F457" s="304">
        <f t="shared" ca="1" si="213"/>
        <v>4.8374452483520427</v>
      </c>
      <c r="G457" s="306">
        <f t="shared" ca="1" si="214"/>
        <v>13.197691147035897</v>
      </c>
      <c r="H457" s="307">
        <f t="shared" ca="1" si="215"/>
        <v>-112.39048206850964</v>
      </c>
      <c r="I457" s="304">
        <f t="shared" ca="1" si="216"/>
        <v>113.16271254792603</v>
      </c>
      <c r="J457" s="306">
        <f t="shared" ca="1" si="217"/>
        <v>627.94318507111007</v>
      </c>
      <c r="K457" s="307">
        <f t="shared" ca="1" si="218"/>
        <v>966.25759644742368</v>
      </c>
      <c r="L457" s="304">
        <f t="shared" ca="1" si="203"/>
        <v>1152.3742388519463</v>
      </c>
      <c r="M457" s="306">
        <f t="shared" ca="1" si="219"/>
        <v>-1.4539045194229818</v>
      </c>
      <c r="N457" s="304">
        <f t="shared" ca="1" si="220"/>
        <v>-83.302592777933086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4.0843000000000034</v>
      </c>
      <c r="T457" s="304">
        <f t="shared" ca="1" si="204"/>
        <v>40.066983000000036</v>
      </c>
      <c r="U457" s="311">
        <f t="shared" ca="1" si="205"/>
        <v>0</v>
      </c>
      <c r="V457" s="306">
        <f t="shared" ca="1" si="206"/>
        <v>1.1120885230515669</v>
      </c>
      <c r="W457" s="304">
        <f t="shared" ca="1" si="207"/>
        <v>20.797166477075098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 t="e">
        <f t="shared" ca="1" si="208"/>
        <v>#N/A</v>
      </c>
      <c r="AG457" s="306">
        <f t="shared" ca="1" si="230"/>
        <v>4.6977740574729054</v>
      </c>
      <c r="AH457" s="304">
        <f t="shared" ca="1" si="231"/>
        <v>-5.0441099781878407</v>
      </c>
    </row>
    <row r="458" spans="1:34" x14ac:dyDescent="0.2">
      <c r="A458" s="347">
        <f t="shared" ca="1" si="209"/>
        <v>0.1</v>
      </c>
      <c r="B458" s="304">
        <f t="shared" ca="1" si="210"/>
        <v>34.000000000000185</v>
      </c>
      <c r="D458" s="306">
        <f t="shared" ca="1" si="211"/>
        <v>-0.59385599569574388</v>
      </c>
      <c r="E458" s="307">
        <f t="shared" ca="1" si="212"/>
        <v>-4.7527698457309677</v>
      </c>
      <c r="F458" s="304">
        <f t="shared" ca="1" si="213"/>
        <v>4.7897271477729655</v>
      </c>
      <c r="G458" s="306">
        <f t="shared" ca="1" si="214"/>
        <v>13.138305547466322</v>
      </c>
      <c r="H458" s="307">
        <f t="shared" ca="1" si="215"/>
        <v>-112.86575905308274</v>
      </c>
      <c r="I458" s="304">
        <f t="shared" ca="1" si="216"/>
        <v>113.62787791421221</v>
      </c>
      <c r="J458" s="306">
        <f t="shared" ca="1" si="217"/>
        <v>629.25998490583515</v>
      </c>
      <c r="K458" s="307">
        <f t="shared" ca="1" si="218"/>
        <v>954.99478439134407</v>
      </c>
      <c r="L458" s="304">
        <f t="shared" ca="1" si="203"/>
        <v>1143.6709171865664</v>
      </c>
      <c r="M458" s="306">
        <f t="shared" ca="1" si="219"/>
        <v>-1.4549114019316456</v>
      </c>
      <c r="N458" s="304">
        <f t="shared" ca="1" si="220"/>
        <v>-83.360282896145065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4.0843000000000034</v>
      </c>
      <c r="T458" s="304">
        <f t="shared" ca="1" si="204"/>
        <v>40.066983000000036</v>
      </c>
      <c r="U458" s="311">
        <f t="shared" ca="1" si="205"/>
        <v>0</v>
      </c>
      <c r="V458" s="306">
        <f t="shared" ca="1" si="206"/>
        <v>1.1133446526313822</v>
      </c>
      <c r="W458" s="304">
        <f t="shared" ca="1" si="207"/>
        <v>20.992179477880917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>
        <f t="shared" ca="1" si="228"/>
        <v>34.000000000000185</v>
      </c>
      <c r="AD458" s="323">
        <f t="shared" ca="1" si="229"/>
        <v>629.25998490583515</v>
      </c>
      <c r="AE458" s="324" t="e">
        <f t="shared" ca="1" si="208"/>
        <v>#N/A</v>
      </c>
      <c r="AG458" s="306">
        <f t="shared" ca="1" si="230"/>
        <v>4.6510776761600185</v>
      </c>
      <c r="AH458" s="304">
        <f t="shared" ca="1" si="231"/>
        <v>-5.0919781791433243</v>
      </c>
    </row>
    <row r="459" spans="1:34" x14ac:dyDescent="0.2">
      <c r="A459" s="347">
        <f t="shared" ca="1" si="209"/>
        <v>0.1</v>
      </c>
      <c r="B459" s="304">
        <f t="shared" ca="1" si="210"/>
        <v>34.100000000000186</v>
      </c>
      <c r="D459" s="306">
        <f t="shared" ca="1" si="211"/>
        <v>-0.59428443832450628</v>
      </c>
      <c r="E459" s="307">
        <f t="shared" ca="1" si="212"/>
        <v>-4.7047477296366109</v>
      </c>
      <c r="F459" s="304">
        <f t="shared" ca="1" si="213"/>
        <v>4.7421329792779447</v>
      </c>
      <c r="G459" s="306">
        <f t="shared" ca="1" si="214"/>
        <v>13.078877103633872</v>
      </c>
      <c r="H459" s="307">
        <f t="shared" ca="1" si="215"/>
        <v>-113.3362338260464</v>
      </c>
      <c r="I459" s="304">
        <f t="shared" ca="1" si="216"/>
        <v>114.08838207356709</v>
      </c>
      <c r="J459" s="306">
        <f t="shared" ca="1" si="217"/>
        <v>630.57084403839019</v>
      </c>
      <c r="K459" s="307">
        <f t="shared" ca="1" si="218"/>
        <v>943.68468474738756</v>
      </c>
      <c r="L459" s="304">
        <f t="shared" ca="1" si="203"/>
        <v>1134.9715298535307</v>
      </c>
      <c r="M459" s="306">
        <f t="shared" ca="1" si="219"/>
        <v>-1.4559056210710575</v>
      </c>
      <c r="N459" s="304">
        <f t="shared" ca="1" si="220"/>
        <v>-83.417247456744491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4.0843000000000034</v>
      </c>
      <c r="T459" s="304">
        <f t="shared" ca="1" si="204"/>
        <v>40.066983000000036</v>
      </c>
      <c r="U459" s="311">
        <f t="shared" ca="1" si="205"/>
        <v>0</v>
      </c>
      <c r="V459" s="306">
        <f t="shared" ca="1" si="206"/>
        <v>1.114607415675291</v>
      </c>
      <c r="W459" s="304">
        <f t="shared" ca="1" si="207"/>
        <v>21.1866787772931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 t="e">
        <f t="shared" ca="1" si="208"/>
        <v>#N/A</v>
      </c>
      <c r="AG459" s="306">
        <f t="shared" ca="1" si="230"/>
        <v>4.6044777279119842</v>
      </c>
      <c r="AH459" s="304">
        <f t="shared" ca="1" si="231"/>
        <v>-5.1397251616876574</v>
      </c>
    </row>
    <row r="460" spans="1:34" x14ac:dyDescent="0.2">
      <c r="A460" s="347">
        <f t="shared" ca="1" si="209"/>
        <v>0.1</v>
      </c>
      <c r="B460" s="304">
        <f t="shared" ca="1" si="210"/>
        <v>34.200000000000188</v>
      </c>
      <c r="D460" s="306">
        <f t="shared" ca="1" si="211"/>
        <v>-0.59466761144904434</v>
      </c>
      <c r="E460" s="307">
        <f t="shared" ca="1" si="212"/>
        <v>-4.6568521474798805</v>
      </c>
      <c r="F460" s="304">
        <f t="shared" ca="1" si="213"/>
        <v>4.6946673462125608</v>
      </c>
      <c r="G460" s="306">
        <f t="shared" ca="1" si="214"/>
        <v>13.019410342488968</v>
      </c>
      <c r="H460" s="307">
        <f t="shared" ca="1" si="215"/>
        <v>-113.80191904079439</v>
      </c>
      <c r="I460" s="304">
        <f t="shared" ca="1" si="216"/>
        <v>114.54423522392399</v>
      </c>
      <c r="J460" s="306">
        <f t="shared" ca="1" si="217"/>
        <v>631.87575841069633</v>
      </c>
      <c r="K460" s="307">
        <f t="shared" ca="1" si="218"/>
        <v>932.32777710404548</v>
      </c>
      <c r="L460" s="304">
        <f t="shared" ca="1" si="203"/>
        <v>1126.2779665903367</v>
      </c>
      <c r="M460" s="306">
        <f t="shared" ca="1" si="219"/>
        <v>-1.4568874252535262</v>
      </c>
      <c r="N460" s="304">
        <f t="shared" ca="1" si="220"/>
        <v>-83.473500692708242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4.0843000000000034</v>
      </c>
      <c r="T460" s="304">
        <f t="shared" ca="1" si="204"/>
        <v>40.066983000000036</v>
      </c>
      <c r="U460" s="311">
        <f t="shared" ca="1" si="205"/>
        <v>0</v>
      </c>
      <c r="V460" s="306">
        <f t="shared" ca="1" si="206"/>
        <v>1.1158767778611134</v>
      </c>
      <c r="W460" s="304">
        <f t="shared" ca="1" si="207"/>
        <v>21.380646094945277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 t="e">
        <f t="shared" ca="1" si="208"/>
        <v>#N/A</v>
      </c>
      <c r="AG460" s="306">
        <f t="shared" ca="1" si="230"/>
        <v>4.5579794350763541</v>
      </c>
      <c r="AH460" s="304">
        <f t="shared" ca="1" si="231"/>
        <v>-5.1873463695842821</v>
      </c>
    </row>
    <row r="461" spans="1:34" x14ac:dyDescent="0.2">
      <c r="A461" s="347">
        <f t="shared" ca="1" si="209"/>
        <v>0.1</v>
      </c>
      <c r="B461" s="304">
        <f t="shared" ca="1" si="210"/>
        <v>34.300000000000189</v>
      </c>
      <c r="D461" s="306">
        <f t="shared" ca="1" si="211"/>
        <v>-0.59500589535601567</v>
      </c>
      <c r="E461" s="307">
        <f t="shared" ca="1" si="212"/>
        <v>-4.6090875968384468</v>
      </c>
      <c r="F461" s="304">
        <f t="shared" ca="1" si="213"/>
        <v>4.64733477283899</v>
      </c>
      <c r="G461" s="306">
        <f t="shared" ca="1" si="214"/>
        <v>12.959909752953365</v>
      </c>
      <c r="H461" s="307">
        <f t="shared" ca="1" si="215"/>
        <v>-114.26282780047823</v>
      </c>
      <c r="I461" s="304">
        <f t="shared" ca="1" si="216"/>
        <v>114.99544807411482</v>
      </c>
      <c r="J461" s="306">
        <f t="shared" ca="1" si="217"/>
        <v>633.1747244154684</v>
      </c>
      <c r="K461" s="307">
        <f t="shared" ca="1" si="218"/>
        <v>920.9245397619818</v>
      </c>
      <c r="L461" s="304">
        <f t="shared" ca="1" si="203"/>
        <v>1117.5921615573466</v>
      </c>
      <c r="M461" s="306">
        <f t="shared" ca="1" si="219"/>
        <v>-1.4578570562804991</v>
      </c>
      <c r="N461" s="304">
        <f t="shared" ca="1" si="220"/>
        <v>-83.529056458238728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4.0843000000000034</v>
      </c>
      <c r="T461" s="304">
        <f t="shared" ca="1" si="204"/>
        <v>40.066983000000036</v>
      </c>
      <c r="U461" s="311">
        <f t="shared" ca="1" si="205"/>
        <v>0</v>
      </c>
      <c r="V461" s="306">
        <f t="shared" ca="1" si="206"/>
        <v>1.1171527049089713</v>
      </c>
      <c r="W461" s="304">
        <f t="shared" ca="1" si="207"/>
        <v>21.574063479699237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 t="e">
        <f t="shared" ca="1" si="208"/>
        <v>#N/A</v>
      </c>
      <c r="AG461" s="306">
        <f t="shared" ca="1" si="230"/>
        <v>4.5115879173600115</v>
      </c>
      <c r="AH461" s="304">
        <f t="shared" ca="1" si="231"/>
        <v>-5.234837327068349</v>
      </c>
    </row>
    <row r="462" spans="1:34" x14ac:dyDescent="0.2">
      <c r="A462" s="347">
        <f t="shared" ca="1" si="209"/>
        <v>0.1</v>
      </c>
      <c r="B462" s="304">
        <f t="shared" ca="1" si="210"/>
        <v>34.40000000000019</v>
      </c>
      <c r="D462" s="306">
        <f t="shared" ca="1" si="211"/>
        <v>-0.59529967494649416</v>
      </c>
      <c r="E462" s="307">
        <f t="shared" ca="1" si="212"/>
        <v>-4.5614584943316379</v>
      </c>
      <c r="F462" s="304">
        <f t="shared" ca="1" si="213"/>
        <v>4.6001397042374323</v>
      </c>
      <c r="G462" s="306">
        <f t="shared" ca="1" si="214"/>
        <v>12.900379785458716</v>
      </c>
      <c r="H462" s="307">
        <f t="shared" ca="1" si="215"/>
        <v>-114.7189736499114</v>
      </c>
      <c r="I462" s="304">
        <f t="shared" ca="1" si="216"/>
        <v>115.44203183372224</v>
      </c>
      <c r="J462" s="306">
        <f t="shared" ca="1" si="217"/>
        <v>634.46773889238898</v>
      </c>
      <c r="K462" s="307">
        <f t="shared" ca="1" si="218"/>
        <v>909.47544968946227</v>
      </c>
      <c r="L462" s="304">
        <f t="shared" ca="1" si="203"/>
        <v>1108.9160947894436</v>
      </c>
      <c r="M462" s="306">
        <f t="shared" ca="1" si="219"/>
        <v>-1.4588147495589745</v>
      </c>
      <c r="N462" s="304">
        <f t="shared" ca="1" si="220"/>
        <v>-83.583928241163406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4.0843000000000034</v>
      </c>
      <c r="T462" s="304">
        <f t="shared" ca="1" si="204"/>
        <v>40.066983000000036</v>
      </c>
      <c r="U462" s="311">
        <f t="shared" ca="1" si="205"/>
        <v>0</v>
      </c>
      <c r="V462" s="306">
        <f t="shared" ca="1" si="206"/>
        <v>1.1184351625845173</v>
      </c>
      <c r="W462" s="304">
        <f t="shared" ca="1" si="207"/>
        <v>21.76691331006807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 t="e">
        <f t="shared" ca="1" si="208"/>
        <v>#N/A</v>
      </c>
      <c r="AG462" s="306">
        <f t="shared" ca="1" si="230"/>
        <v>4.4653081925697622</v>
      </c>
      <c r="AH462" s="304">
        <f t="shared" ca="1" si="231"/>
        <v>-5.2821936389832329</v>
      </c>
    </row>
    <row r="463" spans="1:34" x14ac:dyDescent="0.2">
      <c r="A463" s="347">
        <f t="shared" ca="1" si="209"/>
        <v>0.1</v>
      </c>
      <c r="B463" s="304">
        <f t="shared" ca="1" si="210"/>
        <v>34.500000000000192</v>
      </c>
      <c r="D463" s="306">
        <f t="shared" ca="1" si="211"/>
        <v>-0.59554933955276967</v>
      </c>
      <c r="E463" s="307">
        <f t="shared" ca="1" si="212"/>
        <v>-4.5139691755131546</v>
      </c>
      <c r="F463" s="304">
        <f t="shared" ca="1" si="213"/>
        <v>4.5530865062421828</v>
      </c>
      <c r="G463" s="306">
        <f t="shared" ca="1" si="214"/>
        <v>12.84082485150344</v>
      </c>
      <c r="H463" s="307">
        <f t="shared" ca="1" si="215"/>
        <v>-115.17037056746273</v>
      </c>
      <c r="I463" s="304">
        <f t="shared" ca="1" si="216"/>
        <v>115.8839982030033</v>
      </c>
      <c r="J463" s="306">
        <f t="shared" ca="1" si="217"/>
        <v>635.75479912423714</v>
      </c>
      <c r="K463" s="307">
        <f t="shared" ca="1" si="218"/>
        <v>897.98098247859355</v>
      </c>
      <c r="L463" s="304">
        <f t="shared" ca="1" si="203"/>
        <v>1100.2517936830275</v>
      </c>
      <c r="M463" s="306">
        <f t="shared" ca="1" si="219"/>
        <v>-1.4597607343095367</v>
      </c>
      <c r="N463" s="304">
        <f t="shared" ca="1" si="220"/>
        <v>-83.638129174854356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4.0843000000000034</v>
      </c>
      <c r="T463" s="304">
        <f t="shared" ca="1" si="204"/>
        <v>40.066983000000036</v>
      </c>
      <c r="U463" s="311">
        <f t="shared" ca="1" si="205"/>
        <v>0</v>
      </c>
      <c r="V463" s="306">
        <f t="shared" ca="1" si="206"/>
        <v>1.1197241167021283</v>
      </c>
      <c r="W463" s="304">
        <f t="shared" ca="1" si="207"/>
        <v>21.959178294507321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 t="e">
        <f t="shared" ca="1" si="208"/>
        <v>#N/A</v>
      </c>
      <c r="AG463" s="306">
        <f t="shared" ca="1" si="230"/>
        <v>4.4191451773458184</v>
      </c>
      <c r="AH463" s="304">
        <f t="shared" ca="1" si="231"/>
        <v>-5.3294109908841296</v>
      </c>
    </row>
    <row r="464" spans="1:34" x14ac:dyDescent="0.2">
      <c r="A464" s="347">
        <f t="shared" ca="1" si="209"/>
        <v>0.1</v>
      </c>
      <c r="B464" s="304">
        <f t="shared" ca="1" si="210"/>
        <v>34.600000000000193</v>
      </c>
      <c r="D464" s="306">
        <f t="shared" ca="1" si="211"/>
        <v>-0.59575528275683265</v>
      </c>
      <c r="E464" s="307">
        <f t="shared" ca="1" si="212"/>
        <v>-4.4666238947964123</v>
      </c>
      <c r="F464" s="304">
        <f t="shared" ca="1" si="213"/>
        <v>4.5061794654117966</v>
      </c>
      <c r="G464" s="306">
        <f t="shared" ca="1" si="214"/>
        <v>12.781249323227756</v>
      </c>
      <c r="H464" s="307">
        <f t="shared" ca="1" si="215"/>
        <v>-115.61703295694237</v>
      </c>
      <c r="I464" s="304">
        <f t="shared" ca="1" si="216"/>
        <v>116.32135936288402</v>
      </c>
      <c r="J464" s="306">
        <f t="shared" ca="1" si="217"/>
        <v>637.03590283297365</v>
      </c>
      <c r="K464" s="307">
        <f t="shared" ca="1" si="218"/>
        <v>886.4416123023733</v>
      </c>
      <c r="L464" s="304">
        <f t="shared" ca="1" si="203"/>
        <v>1091.6013345170722</v>
      </c>
      <c r="M464" s="306">
        <f t="shared" ca="1" si="219"/>
        <v>-1.4606952337663865</v>
      </c>
      <c r="N464" s="304">
        <f t="shared" ca="1" si="220"/>
        <v>-83.691672049689132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4.0843000000000034</v>
      </c>
      <c r="T464" s="304">
        <f t="shared" ca="1" si="204"/>
        <v>40.066983000000036</v>
      </c>
      <c r="U464" s="311">
        <f t="shared" ca="1" si="205"/>
        <v>0</v>
      </c>
      <c r="V464" s="306">
        <f t="shared" ca="1" si="206"/>
        <v>1.1210195331280555</v>
      </c>
      <c r="W464" s="304">
        <f t="shared" ca="1" si="207"/>
        <v>22.150841471576118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 t="e">
        <f t="shared" ca="1" si="228"/>
        <v>#N/A</v>
      </c>
      <c r="AD464" s="323" t="e">
        <f t="shared" ca="1" si="229"/>
        <v>#N/A</v>
      </c>
      <c r="AE464" s="324" t="e">
        <f t="shared" ca="1" si="208"/>
        <v>#N/A</v>
      </c>
      <c r="AG464" s="306">
        <f t="shared" ca="1" si="230"/>
        <v>4.3731036878896212</v>
      </c>
      <c r="AH464" s="304">
        <f t="shared" ca="1" si="231"/>
        <v>-5.3764851491093459</v>
      </c>
    </row>
    <row r="465" spans="1:34" x14ac:dyDescent="0.2">
      <c r="A465" s="347">
        <f t="shared" ca="1" si="209"/>
        <v>0.1</v>
      </c>
      <c r="B465" s="304">
        <f t="shared" ca="1" si="210"/>
        <v>34.700000000000195</v>
      </c>
      <c r="D465" s="306">
        <f t="shared" ca="1" si="211"/>
        <v>-0.5959179022105795</v>
      </c>
      <c r="E465" s="307">
        <f t="shared" ca="1" si="212"/>
        <v>-4.4194268254120086</v>
      </c>
      <c r="F465" s="304">
        <f t="shared" ca="1" si="213"/>
        <v>4.4594227890329394</v>
      </c>
      <c r="G465" s="306">
        <f t="shared" ca="1" si="214"/>
        <v>12.721657533006699</v>
      </c>
      <c r="H465" s="307">
        <f t="shared" ca="1" si="215"/>
        <v>-116.05897563948356</v>
      </c>
      <c r="I465" s="304">
        <f t="shared" ca="1" si="216"/>
        <v>116.75412796502462</v>
      </c>
      <c r="J465" s="306">
        <f t="shared" ca="1" si="217"/>
        <v>638.31104817578534</v>
      </c>
      <c r="K465" s="307">
        <f t="shared" ca="1" si="218"/>
        <v>874.85781187255202</v>
      </c>
      <c r="L465" s="304">
        <f t="shared" ca="1" si="203"/>
        <v>1082.9668440066389</v>
      </c>
      <c r="M465" s="306">
        <f t="shared" ca="1" si="219"/>
        <v>-1.4616184653697213</v>
      </c>
      <c r="N465" s="304">
        <f t="shared" ca="1" si="220"/>
        <v>-83.744569324073296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4.0843000000000034</v>
      </c>
      <c r="T465" s="304">
        <f t="shared" ca="1" si="204"/>
        <v>40.066983000000036</v>
      </c>
      <c r="U465" s="311">
        <f t="shared" ca="1" si="205"/>
        <v>0</v>
      </c>
      <c r="V465" s="306">
        <f t="shared" ca="1" si="206"/>
        <v>1.1223213777835317</v>
      </c>
      <c r="W465" s="304">
        <f t="shared" ca="1" si="207"/>
        <v>22.341886209970507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 t="e">
        <f t="shared" ca="1" si="208"/>
        <v>#N/A</v>
      </c>
      <c r="AG465" s="306">
        <f t="shared" ca="1" si="230"/>
        <v>4.3271884406874896</v>
      </c>
      <c r="AH465" s="304">
        <f t="shared" ca="1" si="231"/>
        <v>-5.4234119608197489</v>
      </c>
    </row>
    <row r="466" spans="1:34" x14ac:dyDescent="0.2">
      <c r="A466" s="347">
        <f t="shared" ca="1" si="209"/>
        <v>0.1</v>
      </c>
      <c r="B466" s="304">
        <f t="shared" ca="1" si="210"/>
        <v>34.800000000000196</v>
      </c>
      <c r="D466" s="306">
        <f t="shared" ca="1" si="211"/>
        <v>-0.59603759945778367</v>
      </c>
      <c r="E466" s="307">
        <f t="shared" ca="1" si="212"/>
        <v>-4.3723820593967897</v>
      </c>
      <c r="F466" s="304">
        <f t="shared" ca="1" si="213"/>
        <v>4.4128206051574663</v>
      </c>
      <c r="G466" s="306">
        <f t="shared" ca="1" si="214"/>
        <v>12.66205377306092</v>
      </c>
      <c r="H466" s="307">
        <f t="shared" ca="1" si="215"/>
        <v>-116.49621384542324</v>
      </c>
      <c r="I466" s="304">
        <f t="shared" ca="1" si="216"/>
        <v>117.18231712195518</v>
      </c>
      <c r="J466" s="306">
        <f t="shared" ca="1" si="217"/>
        <v>639.5802337410887</v>
      </c>
      <c r="K466" s="307">
        <f t="shared" ca="1" si="218"/>
        <v>863.23005239830673</v>
      </c>
      <c r="L466" s="304">
        <f t="shared" ca="1" si="203"/>
        <v>1074.3505008868797</v>
      </c>
      <c r="M466" s="306">
        <f t="shared" ca="1" si="219"/>
        <v>-1.4625306409508021</v>
      </c>
      <c r="N466" s="304">
        <f t="shared" ca="1" si="220"/>
        <v>-83.796833135044125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4.0843000000000034</v>
      </c>
      <c r="T466" s="304">
        <f t="shared" ca="1" si="204"/>
        <v>40.066983000000036</v>
      </c>
      <c r="U466" s="311">
        <f t="shared" ca="1" si="205"/>
        <v>0</v>
      </c>
      <c r="V466" s="306">
        <f t="shared" ca="1" si="206"/>
        <v>1.1236296166478434</v>
      </c>
      <c r="W466" s="304">
        <f t="shared" ca="1" si="207"/>
        <v>22.53229620843139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 t="e">
        <f t="shared" ca="1" si="208"/>
        <v>#N/A</v>
      </c>
      <c r="AG466" s="306">
        <f t="shared" ca="1" si="230"/>
        <v>4.2814040532313644</v>
      </c>
      <c r="AH466" s="304">
        <f t="shared" ca="1" si="231"/>
        <v>-5.4701873540069261</v>
      </c>
    </row>
    <row r="467" spans="1:34" x14ac:dyDescent="0.2">
      <c r="A467" s="347">
        <f t="shared" ca="1" si="209"/>
        <v>0.1</v>
      </c>
      <c r="B467" s="304">
        <f t="shared" ca="1" si="210"/>
        <v>34.900000000000198</v>
      </c>
      <c r="D467" s="306">
        <f t="shared" ca="1" si="211"/>
        <v>-0.59611477975786387</v>
      </c>
      <c r="E467" s="307">
        <f t="shared" ca="1" si="212"/>
        <v>-4.3254936076138799</v>
      </c>
      <c r="F467" s="304">
        <f t="shared" ca="1" si="213"/>
        <v>4.3663769626721773</v>
      </c>
      <c r="G467" s="306">
        <f t="shared" ca="1" si="214"/>
        <v>12.602442295085133</v>
      </c>
      <c r="H467" s="307">
        <f t="shared" ca="1" si="215"/>
        <v>-116.92876320618463</v>
      </c>
      <c r="I467" s="304">
        <f t="shared" ca="1" si="216"/>
        <v>117.60594039728157</v>
      </c>
      <c r="J467" s="306">
        <f t="shared" ca="1" si="217"/>
        <v>640.843458544496</v>
      </c>
      <c r="K467" s="307">
        <f t="shared" ca="1" si="218"/>
        <v>851.55880354572628</v>
      </c>
      <c r="L467" s="304">
        <f t="shared" ca="1" si="203"/>
        <v>1065.7545375251752</v>
      </c>
      <c r="M467" s="306">
        <f t="shared" ca="1" si="219"/>
        <v>-1.4634319669100317</v>
      </c>
      <c r="N467" s="304">
        <f t="shared" ca="1" si="220"/>
        <v>-83.848475308473567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4.0843000000000034</v>
      </c>
      <c r="T467" s="304">
        <f t="shared" ca="1" si="204"/>
        <v>40.066983000000036</v>
      </c>
      <c r="U467" s="311">
        <f t="shared" ca="1" si="205"/>
        <v>0</v>
      </c>
      <c r="V467" s="306">
        <f t="shared" ca="1" si="206"/>
        <v>1.1249442157613534</v>
      </c>
      <c r="W467" s="304">
        <f t="shared" ca="1" si="207"/>
        <v>22.722055495529091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 t="e">
        <f t="shared" ca="1" si="208"/>
        <v>#N/A</v>
      </c>
      <c r="AG467" s="306">
        <f t="shared" ca="1" si="230"/>
        <v>4.2357550447378092</v>
      </c>
      <c r="AH467" s="304">
        <f t="shared" ca="1" si="231"/>
        <v>-5.5168073374706488</v>
      </c>
    </row>
    <row r="468" spans="1:34" x14ac:dyDescent="0.2">
      <c r="A468" s="347">
        <f t="shared" ca="1" si="209"/>
        <v>0.1</v>
      </c>
      <c r="B468" s="304">
        <f t="shared" ca="1" si="210"/>
        <v>35.000000000000199</v>
      </c>
      <c r="D468" s="306">
        <f t="shared" ca="1" si="211"/>
        <v>-0.59614985191147041</v>
      </c>
      <c r="E468" s="307">
        <f t="shared" ca="1" si="212"/>
        <v>-4.2787653998032038</v>
      </c>
      <c r="F468" s="304">
        <f t="shared" ca="1" si="213"/>
        <v>4.3200958314008657</v>
      </c>
      <c r="G468" s="306">
        <f t="shared" ca="1" si="214"/>
        <v>12.542827309893987</v>
      </c>
      <c r="H468" s="307">
        <f t="shared" ca="1" si="215"/>
        <v>-117.35663974616494</v>
      </c>
      <c r="I468" s="304">
        <f t="shared" ca="1" si="216"/>
        <v>118.02501179596197</v>
      </c>
      <c r="J468" s="306">
        <f t="shared" ca="1" si="217"/>
        <v>642.10072202474498</v>
      </c>
      <c r="K468" s="307">
        <f t="shared" ca="1" si="218"/>
        <v>839.84453339810875</v>
      </c>
      <c r="L468" s="304">
        <f t="shared" ca="1" si="203"/>
        <v>1057.1812415586014</v>
      </c>
      <c r="M468" s="306">
        <f t="shared" ca="1" si="219"/>
        <v>-1.4643226443883406</v>
      </c>
      <c r="N468" s="304">
        <f t="shared" ca="1" si="220"/>
        <v>-83.89950736888801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4.0843000000000034</v>
      </c>
      <c r="T468" s="304">
        <f t="shared" ca="1" si="204"/>
        <v>40.066983000000036</v>
      </c>
      <c r="U468" s="311">
        <f t="shared" ca="1" si="205"/>
        <v>0</v>
      </c>
      <c r="V468" s="306">
        <f t="shared" ca="1" si="206"/>
        <v>1.1262651412284863</v>
      </c>
      <c r="W468" s="304">
        <f t="shared" ca="1" si="207"/>
        <v>22.911148429327163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>
        <f t="shared" ca="1" si="228"/>
        <v>35.000000000000199</v>
      </c>
      <c r="AD468" s="323">
        <f t="shared" ca="1" si="229"/>
        <v>642.10072202474498</v>
      </c>
      <c r="AE468" s="324" t="e">
        <f t="shared" ca="1" si="208"/>
        <v>#N/A</v>
      </c>
      <c r="AG468" s="306">
        <f t="shared" ca="1" si="230"/>
        <v>4.1902458368663993</v>
      </c>
      <c r="AH468" s="304">
        <f t="shared" ca="1" si="231"/>
        <v>-5.5632680007661222</v>
      </c>
    </row>
    <row r="469" spans="1:34" x14ac:dyDescent="0.2">
      <c r="A469" s="347">
        <f t="shared" ca="1" si="209"/>
        <v>0.1</v>
      </c>
      <c r="B469" s="304">
        <f t="shared" ca="1" si="210"/>
        <v>35.1000000000002</v>
      </c>
      <c r="D469" s="306">
        <f t="shared" ca="1" si="211"/>
        <v>-0.59614322808796416</v>
      </c>
      <c r="E469" s="307">
        <f t="shared" ca="1" si="212"/>
        <v>-4.2322012846618442</v>
      </c>
      <c r="F469" s="304">
        <f t="shared" ca="1" si="213"/>
        <v>4.2739811022381113</v>
      </c>
      <c r="G469" s="306">
        <f t="shared" ca="1" si="214"/>
        <v>12.48321298708519</v>
      </c>
      <c r="H469" s="307">
        <f t="shared" ca="1" si="215"/>
        <v>-117.77985987463113</v>
      </c>
      <c r="I469" s="304">
        <f t="shared" ca="1" si="216"/>
        <v>118.43954575465357</v>
      </c>
      <c r="J469" s="306">
        <f t="shared" ca="1" si="217"/>
        <v>643.35202403959397</v>
      </c>
      <c r="K469" s="307">
        <f t="shared" ca="1" si="218"/>
        <v>828.08770841706894</v>
      </c>
      <c r="L469" s="304">
        <f t="shared" ca="1" si="203"/>
        <v>1048.6329575534401</v>
      </c>
      <c r="M469" s="306">
        <f t="shared" ca="1" si="219"/>
        <v>-1.4652028694321797</v>
      </c>
      <c r="N469" s="304">
        <f t="shared" ca="1" si="220"/>
        <v>-83.949940548921717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4.0843000000000034</v>
      </c>
      <c r="T469" s="304">
        <f t="shared" ca="1" si="204"/>
        <v>40.066983000000036</v>
      </c>
      <c r="U469" s="311">
        <f t="shared" ca="1" si="205"/>
        <v>0</v>
      </c>
      <c r="V469" s="306">
        <f t="shared" ca="1" si="206"/>
        <v>1.1275923592206727</v>
      </c>
      <c r="W469" s="304">
        <f t="shared" ca="1" si="207"/>
        <v>23.099559696927496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 t="e">
        <f t="shared" ca="1" si="208"/>
        <v>#N/A</v>
      </c>
      <c r="AG469" s="306">
        <f t="shared" ca="1" si="230"/>
        <v>4.1448807544383861</v>
      </c>
      <c r="AH469" s="304">
        <f t="shared" ca="1" si="231"/>
        <v>-5.6095655141216714</v>
      </c>
    </row>
    <row r="470" spans="1:34" x14ac:dyDescent="0.2">
      <c r="A470" s="347">
        <f t="shared" ca="1" si="209"/>
        <v>0.1</v>
      </c>
      <c r="B470" s="304">
        <f t="shared" ca="1" si="210"/>
        <v>35.200000000000202</v>
      </c>
      <c r="D470" s="306">
        <f t="shared" ca="1" si="211"/>
        <v>-0.59609532365476581</v>
      </c>
      <c r="E470" s="307">
        <f t="shared" ca="1" si="212"/>
        <v>-4.1858050299536984</v>
      </c>
      <c r="F470" s="304">
        <f t="shared" ca="1" si="213"/>
        <v>4.2280365873143486</v>
      </c>
      <c r="G470" s="306">
        <f t="shared" ca="1" si="214"/>
        <v>12.423603454719714</v>
      </c>
      <c r="H470" s="307">
        <f t="shared" ca="1" si="215"/>
        <v>-118.1984403776265</v>
      </c>
      <c r="I470" s="304">
        <f t="shared" ca="1" si="216"/>
        <v>118.84955713213007</v>
      </c>
      <c r="J470" s="306">
        <f t="shared" ca="1" si="217"/>
        <v>644.59736486168424</v>
      </c>
      <c r="K470" s="307">
        <f t="shared" ca="1" si="218"/>
        <v>816.2887934044561</v>
      </c>
      <c r="L470" s="304">
        <f t="shared" ca="1" si="203"/>
        <v>1040.1120886829121</v>
      </c>
      <c r="M470" s="306">
        <f t="shared" ca="1" si="219"/>
        <v>-1.4660728331523871</v>
      </c>
      <c r="N470" s="304">
        <f t="shared" ca="1" si="220"/>
        <v>-83.999785798419097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4.0843000000000034</v>
      </c>
      <c r="T470" s="304">
        <f t="shared" ca="1" si="204"/>
        <v>40.066983000000036</v>
      </c>
      <c r="U470" s="311">
        <f t="shared" ca="1" si="205"/>
        <v>0</v>
      </c>
      <c r="V470" s="306">
        <f t="shared" ca="1" si="206"/>
        <v>1.1289258359792465</v>
      </c>
      <c r="W470" s="304">
        <f t="shared" ca="1" si="207"/>
        <v>23.287274313899278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 t="e">
        <f t="shared" ca="1" si="208"/>
        <v>#N/A</v>
      </c>
      <c r="AG470" s="306">
        <f t="shared" ca="1" si="230"/>
        <v>4.0996640261566268</v>
      </c>
      <c r="AH470" s="304">
        <f t="shared" ca="1" si="231"/>
        <v>-5.6556961283273699</v>
      </c>
    </row>
    <row r="471" spans="1:34" x14ac:dyDescent="0.2">
      <c r="A471" s="347">
        <f t="shared" ca="1" si="209"/>
        <v>0.1</v>
      </c>
      <c r="B471" s="304">
        <f t="shared" ca="1" si="210"/>
        <v>35.300000000000203</v>
      </c>
      <c r="D471" s="306">
        <f t="shared" ca="1" si="211"/>
        <v>-0.59600655700866245</v>
      </c>
      <c r="E471" s="307">
        <f t="shared" ca="1" si="212"/>
        <v>-4.1395803226478476</v>
      </c>
      <c r="F471" s="304">
        <f t="shared" ca="1" si="213"/>
        <v>4.1822660201917543</v>
      </c>
      <c r="G471" s="306">
        <f t="shared" ca="1" si="214"/>
        <v>12.364002799018849</v>
      </c>
      <c r="H471" s="307">
        <f t="shared" ca="1" si="215"/>
        <v>-118.61239840989128</v>
      </c>
      <c r="I471" s="304">
        <f t="shared" ca="1" si="216"/>
        <v>119.25506119977015</v>
      </c>
      <c r="J471" s="306">
        <f t="shared" ca="1" si="217"/>
        <v>645.83674517437112</v>
      </c>
      <c r="K471" s="307">
        <f t="shared" ca="1" si="218"/>
        <v>804.44825146508026</v>
      </c>
      <c r="L471" s="304">
        <f t="shared" ca="1" si="203"/>
        <v>1031.6210984187221</v>
      </c>
      <c r="M471" s="306">
        <f t="shared" ca="1" si="219"/>
        <v>-1.4669327218771964</v>
      </c>
      <c r="N471" s="304">
        <f t="shared" ca="1" si="220"/>
        <v>-84.049053793201551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4.0843000000000034</v>
      </c>
      <c r="T471" s="304">
        <f t="shared" ca="1" si="204"/>
        <v>40.066983000000036</v>
      </c>
      <c r="U471" s="311">
        <f t="shared" ca="1" si="205"/>
        <v>0</v>
      </c>
      <c r="V471" s="306">
        <f t="shared" ca="1" si="206"/>
        <v>1.1302655378183051</v>
      </c>
      <c r="W471" s="304">
        <f t="shared" ca="1" si="207"/>
        <v>23.47427762359413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 t="e">
        <f t="shared" ca="1" si="208"/>
        <v>#N/A</v>
      </c>
      <c r="AG471" s="306">
        <f t="shared" ca="1" si="230"/>
        <v>4.0545997853274693</v>
      </c>
      <c r="AH471" s="304">
        <f t="shared" ca="1" si="231"/>
        <v>-5.7016561745952208</v>
      </c>
    </row>
    <row r="472" spans="1:34" x14ac:dyDescent="0.2">
      <c r="A472" s="347">
        <f t="shared" ca="1" si="209"/>
        <v>0.1</v>
      </c>
      <c r="B472" s="304">
        <f t="shared" ca="1" si="210"/>
        <v>35.400000000000205</v>
      </c>
      <c r="D472" s="306">
        <f t="shared" ca="1" si="211"/>
        <v>-0.59587734940906467</v>
      </c>
      <c r="E472" s="307">
        <f t="shared" ca="1" si="212"/>
        <v>-4.093530769085012</v>
      </c>
      <c r="F472" s="304">
        <f t="shared" ca="1" si="213"/>
        <v>4.1366730560904257</v>
      </c>
      <c r="G472" s="306">
        <f t="shared" ca="1" si="214"/>
        <v>12.304415064077942</v>
      </c>
      <c r="H472" s="307">
        <f t="shared" ca="1" si="215"/>
        <v>-119.02175148679979</v>
      </c>
      <c r="I472" s="304">
        <f t="shared" ca="1" si="216"/>
        <v>119.65607363211713</v>
      </c>
      <c r="J472" s="306">
        <f t="shared" ca="1" si="217"/>
        <v>647.07016606752597</v>
      </c>
      <c r="K472" s="307">
        <f t="shared" ca="1" si="218"/>
        <v>792.56654397024568</v>
      </c>
      <c r="L472" s="304">
        <f t="shared" ca="1" si="203"/>
        <v>1023.1625122313635</v>
      </c>
      <c r="M472" s="306">
        <f t="shared" ca="1" si="219"/>
        <v>-1.4677827172996325</v>
      </c>
      <c r="N472" s="304">
        <f t="shared" ca="1" si="220"/>
        <v>-84.097754943512584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4.0843000000000034</v>
      </c>
      <c r="T472" s="304">
        <f t="shared" ca="1" si="204"/>
        <v>40.066983000000036</v>
      </c>
      <c r="U472" s="311">
        <f t="shared" ca="1" si="205"/>
        <v>0</v>
      </c>
      <c r="V472" s="306">
        <f t="shared" ca="1" si="206"/>
        <v>1.1316114311275243</v>
      </c>
      <c r="W472" s="304">
        <f t="shared" ca="1" si="207"/>
        <v>23.660555296349866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 t="e">
        <f t="shared" ca="1" si="208"/>
        <v>#N/A</v>
      </c>
      <c r="AG472" s="306">
        <f t="shared" ca="1" si="230"/>
        <v>4.0096920705853973</v>
      </c>
      <c r="AH472" s="304">
        <f t="shared" ca="1" si="231"/>
        <v>-5.7474420643914774</v>
      </c>
    </row>
    <row r="473" spans="1:34" x14ac:dyDescent="0.2">
      <c r="A473" s="347">
        <f t="shared" ca="1" si="209"/>
        <v>0.1</v>
      </c>
      <c r="B473" s="304">
        <f t="shared" ca="1" si="210"/>
        <v>35.500000000000206</v>
      </c>
      <c r="D473" s="306">
        <f t="shared" ca="1" si="211"/>
        <v>-0.59570812481326652</v>
      </c>
      <c r="E473" s="307">
        <f t="shared" ca="1" si="212"/>
        <v>-4.0476598951715186</v>
      </c>
      <c r="F473" s="304">
        <f t="shared" ca="1" si="213"/>
        <v>4.0912612721443793</v>
      </c>
      <c r="G473" s="306">
        <f t="shared" ca="1" si="214"/>
        <v>12.244844251596614</v>
      </c>
      <c r="H473" s="307">
        <f t="shared" ca="1" si="215"/>
        <v>-119.42651747631693</v>
      </c>
      <c r="I473" s="304">
        <f t="shared" ca="1" si="216"/>
        <v>120.05261049751017</v>
      </c>
      <c r="J473" s="306">
        <f t="shared" ca="1" si="217"/>
        <v>648.2976290333097</v>
      </c>
      <c r="K473" s="307">
        <f t="shared" ca="1" si="218"/>
        <v>780.64413052208988</v>
      </c>
      <c r="L473" s="304">
        <f t="shared" ca="1" si="203"/>
        <v>1014.7389192934311</v>
      </c>
      <c r="M473" s="306">
        <f t="shared" ca="1" si="219"/>
        <v>-1.4686229966195363</v>
      </c>
      <c r="N473" s="304">
        <f t="shared" ca="1" si="220"/>
        <v>-84.145899402155194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4.0843000000000034</v>
      </c>
      <c r="T473" s="304">
        <f t="shared" ca="1" si="204"/>
        <v>40.066983000000036</v>
      </c>
      <c r="U473" s="311">
        <f t="shared" ca="1" si="205"/>
        <v>0</v>
      </c>
      <c r="V473" s="306">
        <f t="shared" ca="1" si="206"/>
        <v>1.1329634823749291</v>
      </c>
      <c r="W473" s="304">
        <f t="shared" ca="1" si="207"/>
        <v>23.846093328585194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 t="e">
        <f t="shared" ca="1" si="208"/>
        <v>#N/A</v>
      </c>
      <c r="AG473" s="306">
        <f t="shared" ca="1" si="230"/>
        <v>3.9649448266210019</v>
      </c>
      <c r="AH473" s="304">
        <f t="shared" ca="1" si="231"/>
        <v>-5.7930502892416929</v>
      </c>
    </row>
    <row r="474" spans="1:34" x14ac:dyDescent="0.2">
      <c r="A474" s="347">
        <f t="shared" ca="1" si="209"/>
        <v>0.1</v>
      </c>
      <c r="B474" s="304">
        <f t="shared" ca="1" si="210"/>
        <v>35.600000000000207</v>
      </c>
      <c r="D474" s="306">
        <f t="shared" ca="1" si="211"/>
        <v>-0.59549930971371656</v>
      </c>
      <c r="E474" s="307">
        <f t="shared" ca="1" si="212"/>
        <v>-4.0019711466001944</v>
      </c>
      <c r="F474" s="304">
        <f t="shared" ca="1" si="213"/>
        <v>4.04603416768692</v>
      </c>
      <c r="G474" s="306">
        <f t="shared" ca="1" si="214"/>
        <v>12.185294320625243</v>
      </c>
      <c r="H474" s="307">
        <f t="shared" ca="1" si="215"/>
        <v>-119.82671459097695</v>
      </c>
      <c r="I474" s="304">
        <f t="shared" ca="1" si="216"/>
        <v>120.44468824878791</v>
      </c>
      <c r="J474" s="306">
        <f t="shared" ca="1" si="217"/>
        <v>649.51913596192082</v>
      </c>
      <c r="K474" s="307">
        <f t="shared" ca="1" si="218"/>
        <v>768.68146891872516</v>
      </c>
      <c r="L474" s="304">
        <f t="shared" ca="1" si="203"/>
        <v>1006.3529741794224</v>
      </c>
      <c r="M474" s="306">
        <f t="shared" ca="1" si="219"/>
        <v>-1.4694537326804376</v>
      </c>
      <c r="N474" s="304">
        <f t="shared" ca="1" si="220"/>
        <v>-84.193497072334168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4.0843000000000034</v>
      </c>
      <c r="T474" s="304">
        <f t="shared" ca="1" si="204"/>
        <v>40.066983000000036</v>
      </c>
      <c r="U474" s="311">
        <f t="shared" ca="1" si="205"/>
        <v>0</v>
      </c>
      <c r="V474" s="306">
        <f t="shared" ca="1" si="206"/>
        <v>1.1343216581096263</v>
      </c>
      <c r="W474" s="304">
        <f t="shared" ca="1" si="207"/>
        <v>24.030878041788057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 t="e">
        <f t="shared" ca="1" si="228"/>
        <v>#N/A</v>
      </c>
      <c r="AD474" s="323" t="e">
        <f t="shared" ca="1" si="229"/>
        <v>#N/A</v>
      </c>
      <c r="AE474" s="324" t="e">
        <f t="shared" ca="1" si="208"/>
        <v>#N/A</v>
      </c>
      <c r="AG474" s="306">
        <f t="shared" ca="1" si="230"/>
        <v>3.9203619049129088</v>
      </c>
      <c r="AH474" s="304">
        <f t="shared" ca="1" si="231"/>
        <v>-5.838477420509065</v>
      </c>
    </row>
    <row r="475" spans="1:34" x14ac:dyDescent="0.2">
      <c r="A475" s="347">
        <f t="shared" ca="1" si="209"/>
        <v>0.1</v>
      </c>
      <c r="B475" s="304">
        <f t="shared" ca="1" si="210"/>
        <v>35.700000000000209</v>
      </c>
      <c r="D475" s="306">
        <f t="shared" ca="1" si="211"/>
        <v>-0.59525133297736599</v>
      </c>
      <c r="E475" s="307">
        <f t="shared" ca="1" si="212"/>
        <v>-3.9564678890975227</v>
      </c>
      <c r="F475" s="304">
        <f t="shared" ca="1" si="213"/>
        <v>4.000995164564829</v>
      </c>
      <c r="G475" s="306">
        <f t="shared" ca="1" si="214"/>
        <v>12.125769187327506</v>
      </c>
      <c r="H475" s="307">
        <f t="shared" ca="1" si="215"/>
        <v>-120.22236137988671</v>
      </c>
      <c r="I475" s="304">
        <f t="shared" ca="1" si="216"/>
        <v>120.83232371406426</v>
      </c>
      <c r="J475" s="306">
        <f t="shared" ca="1" si="217"/>
        <v>650.73468913731847</v>
      </c>
      <c r="K475" s="307">
        <f t="shared" ca="1" si="218"/>
        <v>756.67901512018193</v>
      </c>
      <c r="L475" s="304">
        <f t="shared" ca="1" si="203"/>
        <v>998.00739855468555</v>
      </c>
      <c r="M475" s="306">
        <f t="shared" ca="1" si="219"/>
        <v>-1.4702750941014997</v>
      </c>
      <c r="N475" s="304">
        <f t="shared" ca="1" si="220"/>
        <v>-84.240557615215891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4.0843000000000034</v>
      </c>
      <c r="T475" s="304">
        <f t="shared" ca="1" si="204"/>
        <v>40.066983000000036</v>
      </c>
      <c r="U475" s="311">
        <f t="shared" ca="1" si="205"/>
        <v>0</v>
      </c>
      <c r="V475" s="306">
        <f t="shared" ca="1" si="206"/>
        <v>1.1356859249644897</v>
      </c>
      <c r="W475" s="304">
        <f t="shared" ca="1" si="207"/>
        <v>24.214896081399772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 t="e">
        <f t="shared" ca="1" si="208"/>
        <v>#N/A</v>
      </c>
      <c r="AG475" s="306">
        <f t="shared" ca="1" si="230"/>
        <v>3.875947064464075</v>
      </c>
      <c r="AH475" s="304">
        <f t="shared" ca="1" si="231"/>
        <v>-5.8837201091467417</v>
      </c>
    </row>
    <row r="476" spans="1:34" x14ac:dyDescent="0.2">
      <c r="A476" s="347">
        <f t="shared" ca="1" si="209"/>
        <v>0.1</v>
      </c>
      <c r="B476" s="304">
        <f t="shared" ca="1" si="210"/>
        <v>35.80000000000021</v>
      </c>
      <c r="D476" s="306">
        <f t="shared" ca="1" si="211"/>
        <v>-0.59496462568706732</v>
      </c>
      <c r="E476" s="307">
        <f t="shared" ca="1" si="212"/>
        <v>-3.9111534086965198</v>
      </c>
      <c r="F476" s="304">
        <f t="shared" ca="1" si="213"/>
        <v>3.9561476074809643</v>
      </c>
      <c r="G476" s="306">
        <f t="shared" ca="1" si="214"/>
        <v>12.0662727247588</v>
      </c>
      <c r="H476" s="307">
        <f t="shared" ca="1" si="215"/>
        <v>-120.61347672075635</v>
      </c>
      <c r="I476" s="304">
        <f t="shared" ca="1" si="216"/>
        <v>121.21553408757762</v>
      </c>
      <c r="J476" s="306">
        <f t="shared" ca="1" si="217"/>
        <v>651.94429123292275</v>
      </c>
      <c r="K476" s="307">
        <f t="shared" ca="1" si="218"/>
        <v>744.63722321514979</v>
      </c>
      <c r="L476" s="304">
        <f t="shared" ca="1" si="203"/>
        <v>989.70498284527537</v>
      </c>
      <c r="M476" s="306">
        <f t="shared" ca="1" si="219"/>
        <v>-1.4710872454047348</v>
      </c>
      <c r="N476" s="304">
        <f t="shared" ca="1" si="220"/>
        <v>-84.287090457217317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4.0843000000000034</v>
      </c>
      <c r="T476" s="304">
        <f t="shared" ca="1" si="204"/>
        <v>40.066983000000036</v>
      </c>
      <c r="U476" s="311">
        <f t="shared" ca="1" si="205"/>
        <v>0</v>
      </c>
      <c r="V476" s="306">
        <f t="shared" ca="1" si="206"/>
        <v>1.1370562496588041</v>
      </c>
      <c r="W476" s="304">
        <f t="shared" ca="1" si="207"/>
        <v>24.398134415597625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 t="e">
        <f t="shared" ca="1" si="208"/>
        <v>#N/A</v>
      </c>
      <c r="AG476" s="306">
        <f t="shared" ca="1" si="230"/>
        <v>3.8317039725430098</v>
      </c>
      <c r="AH476" s="304">
        <f t="shared" ca="1" si="231"/>
        <v>-5.928775085424614</v>
      </c>
    </row>
    <row r="477" spans="1:34" x14ac:dyDescent="0.2">
      <c r="A477" s="347">
        <f t="shared" ca="1" si="209"/>
        <v>0.1</v>
      </c>
      <c r="B477" s="304">
        <f t="shared" ca="1" si="210"/>
        <v>35.900000000000212</v>
      </c>
      <c r="D477" s="306">
        <f t="shared" ca="1" si="211"/>
        <v>-0.59463962098509782</v>
      </c>
      <c r="E477" s="307">
        <f t="shared" ca="1" si="212"/>
        <v>-3.8660309120346756</v>
      </c>
      <c r="F477" s="304">
        <f t="shared" ca="1" si="213"/>
        <v>3.9114947643647646</v>
      </c>
      <c r="G477" s="306">
        <f t="shared" ca="1" si="214"/>
        <v>12.00680876266029</v>
      </c>
      <c r="H477" s="307">
        <f t="shared" ca="1" si="215"/>
        <v>-121.00007981195982</v>
      </c>
      <c r="I477" s="304">
        <f t="shared" ca="1" si="216"/>
        <v>121.5943369206138</v>
      </c>
      <c r="J477" s="306">
        <f t="shared" ca="1" si="217"/>
        <v>653.14794530729375</v>
      </c>
      <c r="K477" s="307">
        <f t="shared" ca="1" si="218"/>
        <v>732.556545388514</v>
      </c>
      <c r="L477" s="304">
        <f t="shared" ca="1" si="203"/>
        <v>981.44858787951478</v>
      </c>
      <c r="M477" s="306">
        <f t="shared" ca="1" si="219"/>
        <v>-1.4718903471376876</v>
      </c>
      <c r="N477" s="304">
        <f t="shared" ca="1" si="220"/>
        <v>-84.333104797035148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4.0843000000000034</v>
      </c>
      <c r="T477" s="304">
        <f t="shared" ca="1" si="204"/>
        <v>40.066983000000036</v>
      </c>
      <c r="U477" s="311">
        <f t="shared" ca="1" si="205"/>
        <v>0</v>
      </c>
      <c r="V477" s="306">
        <f t="shared" ca="1" si="206"/>
        <v>1.1384325990008666</v>
      </c>
      <c r="W477" s="304">
        <f t="shared" ca="1" si="207"/>
        <v>24.580580333978503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 t="e">
        <f t="shared" ca="1" si="208"/>
        <v>#N/A</v>
      </c>
      <c r="AG477" s="306">
        <f t="shared" ca="1" si="230"/>
        <v>3.7876362054301822</v>
      </c>
      <c r="AH477" s="304">
        <f t="shared" ca="1" si="231"/>
        <v>-5.9736391586312472</v>
      </c>
    </row>
    <row r="478" spans="1:34" x14ac:dyDescent="0.2">
      <c r="A478" s="347">
        <f t="shared" ca="1" si="209"/>
        <v>0.1</v>
      </c>
      <c r="B478" s="304">
        <f t="shared" ca="1" si="210"/>
        <v>36.000000000000213</v>
      </c>
      <c r="D478" s="306">
        <f t="shared" ca="1" si="211"/>
        <v>-0.59427675391880641</v>
      </c>
      <c r="E478" s="307">
        <f t="shared" ca="1" si="212"/>
        <v>-3.8211035266763247</v>
      </c>
      <c r="F478" s="304">
        <f t="shared" ca="1" si="213"/>
        <v>3.8670398267701511</v>
      </c>
      <c r="G478" s="306">
        <f t="shared" ca="1" si="214"/>
        <v>11.947381087268409</v>
      </c>
      <c r="H478" s="307">
        <f t="shared" ca="1" si="215"/>
        <v>-121.38219016462746</v>
      </c>
      <c r="I478" s="304">
        <f t="shared" ca="1" si="216"/>
        <v>121.968750112503</v>
      </c>
      <c r="J478" s="306">
        <f t="shared" ca="1" si="217"/>
        <v>654.34565479979017</v>
      </c>
      <c r="K478" s="307">
        <f t="shared" ca="1" si="218"/>
        <v>720.4374318896846</v>
      </c>
      <c r="L478" s="304">
        <f t="shared" ca="1" si="203"/>
        <v>973.24114649102773</v>
      </c>
      <c r="M478" s="306">
        <f t="shared" ca="1" si="219"/>
        <v>-1.4726845559917736</v>
      </c>
      <c r="N478" s="304">
        <f t="shared" ca="1" si="220"/>
        <v>-84.378609612426203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4.0843000000000034</v>
      </c>
      <c r="T478" s="304">
        <f t="shared" ca="1" si="204"/>
        <v>40.066983000000036</v>
      </c>
      <c r="U478" s="311">
        <f t="shared" ca="1" si="205"/>
        <v>0</v>
      </c>
      <c r="V478" s="306">
        <f t="shared" ca="1" si="206"/>
        <v>1.1398149398905448</v>
      </c>
      <c r="W478" s="304">
        <f t="shared" ca="1" si="207"/>
        <v>24.762221446145798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>
        <f t="shared" ca="1" si="228"/>
        <v>36.000000000000213</v>
      </c>
      <c r="AD478" s="323">
        <f t="shared" ca="1" si="229"/>
        <v>654.34565479979017</v>
      </c>
      <c r="AE478" s="324" t="e">
        <f t="shared" ca="1" si="208"/>
        <v>#N/A</v>
      </c>
      <c r="AG478" s="306">
        <f t="shared" ca="1" si="230"/>
        <v>3.7437472491700072</v>
      </c>
      <c r="AH478" s="304">
        <f t="shared" ca="1" si="231"/>
        <v>-6.0183092167515815</v>
      </c>
    </row>
    <row r="479" spans="1:34" x14ac:dyDescent="0.2">
      <c r="A479" s="347">
        <f t="shared" ca="1" si="209"/>
        <v>0.1</v>
      </c>
      <c r="B479" s="304">
        <f t="shared" ca="1" si="210"/>
        <v>36.100000000000215</v>
      </c>
      <c r="D479" s="306">
        <f t="shared" ca="1" si="211"/>
        <v>-0.59387646128841676</v>
      </c>
      <c r="E479" s="307">
        <f t="shared" ca="1" si="212"/>
        <v>-3.7763743014588993</v>
      </c>
      <c r="F479" s="304">
        <f t="shared" ca="1" si="213"/>
        <v>3.8227859103004502</v>
      </c>
      <c r="G479" s="306">
        <f t="shared" ca="1" si="214"/>
        <v>11.887993441139567</v>
      </c>
      <c r="H479" s="307">
        <f t="shared" ca="1" si="215"/>
        <v>-121.75982759477336</v>
      </c>
      <c r="I479" s="304">
        <f t="shared" ca="1" si="216"/>
        <v>122.33879190169203</v>
      </c>
      <c r="J479" s="306">
        <f t="shared" ca="1" si="217"/>
        <v>655.53742352621055</v>
      </c>
      <c r="K479" s="307">
        <f t="shared" ca="1" si="218"/>
        <v>708.28033100171456</v>
      </c>
      <c r="L479" s="304">
        <f t="shared" ca="1" si="203"/>
        <v>965.08566507190471</v>
      </c>
      <c r="M479" s="306">
        <f t="shared" ca="1" si="219"/>
        <v>-1.4734700249164505</v>
      </c>
      <c r="N479" s="304">
        <f t="shared" ca="1" si="220"/>
        <v>-84.423613666748864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4.0843000000000034</v>
      </c>
      <c r="T479" s="304">
        <f t="shared" ca="1" si="204"/>
        <v>40.066983000000036</v>
      </c>
      <c r="U479" s="311">
        <f t="shared" ca="1" si="205"/>
        <v>0</v>
      </c>
      <c r="V479" s="306">
        <f t="shared" ca="1" si="206"/>
        <v>1.1412032393217917</v>
      </c>
      <c r="W479" s="304">
        <f t="shared" ca="1" si="207"/>
        <v>24.943045680202307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 t="e">
        <f t="shared" ca="1" si="208"/>
        <v>#N/A</v>
      </c>
      <c r="AG479" s="306">
        <f t="shared" ca="1" si="230"/>
        <v>3.7000405003286465</v>
      </c>
      <c r="AH479" s="304">
        <f t="shared" ca="1" si="231"/>
        <v>-6.0627822261209454</v>
      </c>
    </row>
    <row r="480" spans="1:34" x14ac:dyDescent="0.2">
      <c r="A480" s="347">
        <f t="shared" ca="1" si="209"/>
        <v>0.1</v>
      </c>
      <c r="B480" s="304">
        <f t="shared" ca="1" si="210"/>
        <v>36.200000000000216</v>
      </c>
      <c r="D480" s="306">
        <f t="shared" ca="1" si="211"/>
        <v>-0.59343918149699781</v>
      </c>
      <c r="E480" s="307">
        <f t="shared" ca="1" si="212"/>
        <v>-3.7318462068623655</v>
      </c>
      <c r="F480" s="304">
        <f t="shared" ca="1" si="213"/>
        <v>3.7787360550597935</v>
      </c>
      <c r="G480" s="306">
        <f t="shared" ca="1" si="214"/>
        <v>11.828649522989867</v>
      </c>
      <c r="H480" s="307">
        <f t="shared" ca="1" si="215"/>
        <v>-122.13301221545959</v>
      </c>
      <c r="I480" s="304">
        <f t="shared" ca="1" si="216"/>
        <v>122.70448085689181</v>
      </c>
      <c r="J480" s="306">
        <f t="shared" ca="1" si="217"/>
        <v>656.72325567441703</v>
      </c>
      <c r="K480" s="307">
        <f t="shared" ca="1" si="218"/>
        <v>696.08568901120293</v>
      </c>
      <c r="L480" s="304">
        <f t="shared" ca="1" si="203"/>
        <v>956.98522506348388</v>
      </c>
      <c r="M480" s="306">
        <f t="shared" ca="1" si="219"/>
        <v>-1.4742469032293903</v>
      </c>
      <c r="N480" s="304">
        <f t="shared" ca="1" si="220"/>
        <v>-84.46812551527556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4.0843000000000034</v>
      </c>
      <c r="T480" s="304">
        <f t="shared" ca="1" si="204"/>
        <v>40.066983000000036</v>
      </c>
      <c r="U480" s="311">
        <f t="shared" ca="1" si="205"/>
        <v>0</v>
      </c>
      <c r="V480" s="306">
        <f t="shared" ca="1" si="206"/>
        <v>1.1425974643851153</v>
      </c>
      <c r="W480" s="304">
        <f t="shared" ca="1" si="207"/>
        <v>25.123041281151494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 t="e">
        <f t="shared" ca="1" si="208"/>
        <v>#N/A</v>
      </c>
      <c r="AG480" s="306">
        <f t="shared" ca="1" si="230"/>
        <v>3.656519266757873</v>
      </c>
      <c r="AH480" s="304">
        <f t="shared" ca="1" si="231"/>
        <v>-6.1070552310560648</v>
      </c>
    </row>
    <row r="481" spans="1:34" x14ac:dyDescent="0.2">
      <c r="A481" s="347">
        <f t="shared" ca="1" si="209"/>
        <v>0.1</v>
      </c>
      <c r="B481" s="304">
        <f t="shared" ca="1" si="210"/>
        <v>36.300000000000217</v>
      </c>
      <c r="D481" s="306">
        <f t="shared" ca="1" si="211"/>
        <v>-0.59296535440263676</v>
      </c>
      <c r="E481" s="307">
        <f t="shared" ca="1" si="212"/>
        <v>-3.6875221354012941</v>
      </c>
      <c r="F481" s="304">
        <f t="shared" ca="1" si="213"/>
        <v>3.7348932261306165</v>
      </c>
      <c r="G481" s="306">
        <f t="shared" ca="1" si="214"/>
        <v>11.769352987549603</v>
      </c>
      <c r="H481" s="307">
        <f t="shared" ca="1" si="215"/>
        <v>-122.50176442899972</v>
      </c>
      <c r="I481" s="304">
        <f t="shared" ca="1" si="216"/>
        <v>123.06583586830133</v>
      </c>
      <c r="J481" s="306">
        <f t="shared" ca="1" si="217"/>
        <v>657.90315579994399</v>
      </c>
      <c r="K481" s="307">
        <f t="shared" ca="1" si="218"/>
        <v>683.85395017897997</v>
      </c>
      <c r="L481" s="304">
        <f t="shared" ca="1" si="203"/>
        <v>948.94298437098962</v>
      </c>
      <c r="M481" s="306">
        <f t="shared" ca="1" si="219"/>
        <v>-1.4750153367228152</v>
      </c>
      <c r="N481" s="304">
        <f t="shared" ca="1" si="220"/>
        <v>-84.512153511285291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4.0843000000000034</v>
      </c>
      <c r="T481" s="304">
        <f t="shared" ca="1" si="204"/>
        <v>40.066983000000036</v>
      </c>
      <c r="U481" s="311">
        <f t="shared" ca="1" si="205"/>
        <v>0</v>
      </c>
      <c r="V481" s="306">
        <f t="shared" ca="1" si="206"/>
        <v>1.1439975822700104</v>
      </c>
      <c r="W481" s="304">
        <f t="shared" ca="1" si="207"/>
        <v>25.302196809209853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 t="e">
        <f t="shared" ca="1" si="208"/>
        <v>#N/A</v>
      </c>
      <c r="AG481" s="306">
        <f t="shared" ca="1" si="230"/>
        <v>3.6131867683651775</v>
      </c>
      <c r="AH481" s="304">
        <f t="shared" ca="1" si="231"/>
        <v>-6.1511253534636223</v>
      </c>
    </row>
    <row r="482" spans="1:34" x14ac:dyDescent="0.2">
      <c r="A482" s="347">
        <f t="shared" ca="1" si="209"/>
        <v>0.1</v>
      </c>
      <c r="B482" s="304">
        <f t="shared" ca="1" si="210"/>
        <v>36.400000000000219</v>
      </c>
      <c r="D482" s="306">
        <f t="shared" ca="1" si="211"/>
        <v>-0.59245542117282823</v>
      </c>
      <c r="E482" s="307">
        <f t="shared" ca="1" si="212"/>
        <v>-3.6434049020388599</v>
      </c>
      <c r="F482" s="304">
        <f t="shared" ca="1" si="213"/>
        <v>3.6912603140767337</v>
      </c>
      <c r="G482" s="306">
        <f t="shared" ca="1" si="214"/>
        <v>11.710107445432319</v>
      </c>
      <c r="H482" s="307">
        <f t="shared" ca="1" si="215"/>
        <v>-122.86610491920361</v>
      </c>
      <c r="I482" s="304">
        <f t="shared" ca="1" si="216"/>
        <v>123.42287613890838</v>
      </c>
      <c r="J482" s="306">
        <f t="shared" ca="1" si="217"/>
        <v>659.07712882159308</v>
      </c>
      <c r="K482" s="307">
        <f t="shared" ca="1" si="218"/>
        <v>671.58555671156978</v>
      </c>
      <c r="L482" s="304">
        <f t="shared" ca="1" si="203"/>
        <v>940.96217868695658</v>
      </c>
      <c r="M482" s="306">
        <f t="shared" ca="1" si="219"/>
        <v>-1.4757754677661503</v>
      </c>
      <c r="N482" s="304">
        <f t="shared" ca="1" si="220"/>
        <v>-84.555705811945273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4.0843000000000034</v>
      </c>
      <c r="T482" s="304">
        <f t="shared" ca="1" si="204"/>
        <v>40.066983000000036</v>
      </c>
      <c r="U482" s="311">
        <f t="shared" ca="1" si="205"/>
        <v>0</v>
      </c>
      <c r="V482" s="306">
        <f t="shared" ca="1" si="206"/>
        <v>1.1454035602673389</v>
      </c>
      <c r="W482" s="304">
        <f t="shared" ca="1" si="207"/>
        <v>25.48050113803248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 t="e">
        <f t="shared" ca="1" si="208"/>
        <v>#N/A</v>
      </c>
      <c r="AG482" s="306">
        <f t="shared" ca="1" si="230"/>
        <v>3.5700461378901869</v>
      </c>
      <c r="AH482" s="304">
        <f t="shared" ca="1" si="231"/>
        <v>-6.1949897924270578</v>
      </c>
    </row>
    <row r="483" spans="1:34" x14ac:dyDescent="0.2">
      <c r="A483" s="347">
        <f t="shared" ca="1" si="209"/>
        <v>0.1</v>
      </c>
      <c r="B483" s="304">
        <f t="shared" ca="1" si="210"/>
        <v>36.50000000000022</v>
      </c>
      <c r="D483" s="306">
        <f t="shared" ca="1" si="211"/>
        <v>-0.59190982414109206</v>
      </c>
      <c r="E483" s="307">
        <f t="shared" ca="1" si="212"/>
        <v>-3.5994972446222571</v>
      </c>
      <c r="F483" s="304">
        <f t="shared" ca="1" si="213"/>
        <v>3.6478401354716685</v>
      </c>
      <c r="G483" s="306">
        <f t="shared" ca="1" si="214"/>
        <v>11.650916463018211</v>
      </c>
      <c r="H483" s="307">
        <f t="shared" ca="1" si="215"/>
        <v>-123.22605464366583</v>
      </c>
      <c r="I483" s="304">
        <f t="shared" ca="1" si="216"/>
        <v>123.77562117586785</v>
      </c>
      <c r="J483" s="306">
        <f t="shared" ca="1" si="217"/>
        <v>660.24518001701563</v>
      </c>
      <c r="K483" s="307">
        <f t="shared" ca="1" si="218"/>
        <v>659.28094873342627</v>
      </c>
      <c r="L483" s="304">
        <f t="shared" ca="1" si="203"/>
        <v>933.04612270699033</v>
      </c>
      <c r="M483" s="306">
        <f t="shared" ca="1" si="219"/>
        <v>-1.4765274354051436</v>
      </c>
      <c r="N483" s="304">
        <f t="shared" ca="1" si="220"/>
        <v>-84.598790383990007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4.0843000000000034</v>
      </c>
      <c r="T483" s="304">
        <f t="shared" ca="1" si="204"/>
        <v>40.066983000000036</v>
      </c>
      <c r="U483" s="311">
        <f t="shared" ca="1" si="205"/>
        <v>0</v>
      </c>
      <c r="V483" s="306">
        <f t="shared" ca="1" si="206"/>
        <v>1.1468153657716764</v>
      </c>
      <c r="W483" s="304">
        <f t="shared" ca="1" si="207"/>
        <v>25.657943452854866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 t="e">
        <f t="shared" ca="1" si="208"/>
        <v>#N/A</v>
      </c>
      <c r="AG483" s="306">
        <f t="shared" ca="1" si="230"/>
        <v>3.5271004216876278</v>
      </c>
      <c r="AH483" s="304">
        <f t="shared" ca="1" si="231"/>
        <v>-6.2386458237721172</v>
      </c>
    </row>
    <row r="484" spans="1:34" x14ac:dyDescent="0.2">
      <c r="A484" s="347">
        <f t="shared" ca="1" si="209"/>
        <v>0.1</v>
      </c>
      <c r="B484" s="304">
        <f t="shared" ca="1" si="210"/>
        <v>36.600000000000222</v>
      </c>
      <c r="D484" s="306">
        <f t="shared" ca="1" si="211"/>
        <v>-0.59132900666584143</v>
      </c>
      <c r="E484" s="307">
        <f t="shared" ca="1" si="212"/>
        <v>-3.5558018243387952</v>
      </c>
      <c r="F484" s="304">
        <f t="shared" ca="1" si="213"/>
        <v>3.6046354334516986</v>
      </c>
      <c r="G484" s="306">
        <f t="shared" ca="1" si="214"/>
        <v>11.591783562351626</v>
      </c>
      <c r="H484" s="307">
        <f t="shared" ca="1" si="215"/>
        <v>-123.58163482609972</v>
      </c>
      <c r="I484" s="304">
        <f t="shared" ca="1" si="216"/>
        <v>124.12409078195846</v>
      </c>
      <c r="J484" s="306">
        <f t="shared" ca="1" si="217"/>
        <v>661.40731501828407</v>
      </c>
      <c r="K484" s="307">
        <f t="shared" ca="1" si="218"/>
        <v>646.94056425993801</v>
      </c>
      <c r="L484" s="304">
        <f t="shared" ca="1" si="203"/>
        <v>925.19821121998643</v>
      </c>
      <c r="M484" s="306">
        <f t="shared" ca="1" si="219"/>
        <v>-1.4772713754575892</v>
      </c>
      <c r="N484" s="304">
        <f t="shared" ca="1" si="220"/>
        <v>-84.641415009205886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4.0843000000000034</v>
      </c>
      <c r="T484" s="304">
        <f t="shared" ca="1" si="204"/>
        <v>40.066983000000036</v>
      </c>
      <c r="U484" s="311">
        <f t="shared" ca="1" si="205"/>
        <v>0</v>
      </c>
      <c r="V484" s="306">
        <f t="shared" ca="1" si="206"/>
        <v>1.1482329662836099</v>
      </c>
      <c r="W484" s="304">
        <f t="shared" ca="1" si="207"/>
        <v>25.834513248553041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 t="e">
        <f t="shared" ca="1" si="228"/>
        <v>#N/A</v>
      </c>
      <c r="AD484" s="323" t="e">
        <f t="shared" ca="1" si="229"/>
        <v>#N/A</v>
      </c>
      <c r="AE484" s="324" t="e">
        <f t="shared" ca="1" si="208"/>
        <v>#N/A</v>
      </c>
      <c r="AG484" s="306">
        <f t="shared" ca="1" si="230"/>
        <v>3.4843525805167248</v>
      </c>
      <c r="AH484" s="304">
        <f t="shared" ca="1" si="231"/>
        <v>-6.2820907996118907</v>
      </c>
    </row>
    <row r="485" spans="1:34" x14ac:dyDescent="0.2">
      <c r="A485" s="347">
        <f t="shared" ca="1" si="209"/>
        <v>0.1</v>
      </c>
      <c r="B485" s="304">
        <f t="shared" ca="1" si="210"/>
        <v>36.700000000000223</v>
      </c>
      <c r="D485" s="306">
        <f t="shared" ca="1" si="211"/>
        <v>-0.59071341299151714</v>
      </c>
      <c r="E485" s="307">
        <f t="shared" ca="1" si="212"/>
        <v>-3.5123212261921353</v>
      </c>
      <c r="F485" s="304">
        <f t="shared" ca="1" si="213"/>
        <v>3.5616488782932985</v>
      </c>
      <c r="G485" s="306">
        <f t="shared" ca="1" si="214"/>
        <v>11.532712221052474</v>
      </c>
      <c r="H485" s="307">
        <f t="shared" ca="1" si="215"/>
        <v>-123.93286694871892</v>
      </c>
      <c r="I485" s="304">
        <f t="shared" ca="1" si="216"/>
        <v>124.46830504711825</v>
      </c>
      <c r="J485" s="306">
        <f t="shared" ca="1" si="217"/>
        <v>662.56353980745428</v>
      </c>
      <c r="K485" s="307">
        <f t="shared" ca="1" si="218"/>
        <v>634.56483917119704</v>
      </c>
      <c r="L485" s="304">
        <f t="shared" ca="1" si="203"/>
        <v>917.42192005344589</v>
      </c>
      <c r="M485" s="306">
        <f t="shared" ca="1" si="219"/>
        <v>-1.4780074206057903</v>
      </c>
      <c r="N485" s="304">
        <f t="shared" ca="1" si="220"/>
        <v>-84.683587289728891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4.0843000000000034</v>
      </c>
      <c r="T485" s="304">
        <f t="shared" ca="1" si="204"/>
        <v>40.066983000000036</v>
      </c>
      <c r="U485" s="311">
        <f t="shared" ca="1" si="205"/>
        <v>0</v>
      </c>
      <c r="V485" s="306">
        <f t="shared" ca="1" si="206"/>
        <v>1.1496563294119908</v>
      </c>
      <c r="W485" s="304">
        <f t="shared" ca="1" si="207"/>
        <v>26.010200327624677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 t="e">
        <f t="shared" ca="1" si="208"/>
        <v>#N/A</v>
      </c>
      <c r="AG485" s="306">
        <f t="shared" ca="1" si="230"/>
        <v>3.4418054903372166</v>
      </c>
      <c r="AH485" s="304">
        <f t="shared" ca="1" si="231"/>
        <v>-6.3253221478718551</v>
      </c>
    </row>
    <row r="486" spans="1:34" x14ac:dyDescent="0.2">
      <c r="A486" s="347">
        <f t="shared" ca="1" si="209"/>
        <v>0.1</v>
      </c>
      <c r="B486" s="304">
        <f t="shared" ca="1" si="210"/>
        <v>36.800000000000225</v>
      </c>
      <c r="D486" s="306">
        <f t="shared" ca="1" si="211"/>
        <v>-0.59006348811200771</v>
      </c>
      <c r="E486" s="307">
        <f t="shared" ca="1" si="212"/>
        <v>-3.4690579594980351</v>
      </c>
      <c r="F486" s="304">
        <f t="shared" ca="1" si="213"/>
        <v>3.5188830680145626</v>
      </c>
      <c r="G486" s="306">
        <f t="shared" ca="1" si="214"/>
        <v>11.473705872241274</v>
      </c>
      <c r="H486" s="307">
        <f t="shared" ca="1" si="215"/>
        <v>-124.27977274466873</v>
      </c>
      <c r="I486" s="304">
        <f t="shared" ca="1" si="216"/>
        <v>124.80828434005977</v>
      </c>
      <c r="J486" s="306">
        <f t="shared" ca="1" si="217"/>
        <v>663.71386071211896</v>
      </c>
      <c r="K486" s="307">
        <f t="shared" ca="1" si="218"/>
        <v>622.15420718652763</v>
      </c>
      <c r="L486" s="304">
        <f t="shared" ca="1" si="203"/>
        <v>909.72080685300523</v>
      </c>
      <c r="M486" s="306">
        <f t="shared" ca="1" si="219"/>
        <v>-1.4787357004858921</v>
      </c>
      <c r="N486" s="304">
        <f t="shared" ca="1" si="220"/>
        <v>-84.725314653163011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4.0843000000000034</v>
      </c>
      <c r="T486" s="304">
        <f t="shared" ca="1" si="204"/>
        <v>40.066983000000036</v>
      </c>
      <c r="U486" s="311">
        <f t="shared" ca="1" si="205"/>
        <v>0</v>
      </c>
      <c r="V486" s="306">
        <f t="shared" ca="1" si="206"/>
        <v>1.1510854228761513</v>
      </c>
      <c r="W486" s="304">
        <f t="shared" ca="1" si="207"/>
        <v>26.184994798093751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 t="e">
        <f t="shared" ca="1" si="208"/>
        <v>#N/A</v>
      </c>
      <c r="AG486" s="306">
        <f t="shared" ca="1" si="230"/>
        <v>3.3994619431118736</v>
      </c>
      <c r="AH486" s="304">
        <f t="shared" ca="1" si="231"/>
        <v>-6.3683373717955725</v>
      </c>
    </row>
    <row r="487" spans="1:34" x14ac:dyDescent="0.2">
      <c r="A487" s="347">
        <f t="shared" ca="1" si="209"/>
        <v>0.1</v>
      </c>
      <c r="B487" s="304">
        <f t="shared" ca="1" si="210"/>
        <v>36.900000000000226</v>
      </c>
      <c r="D487" s="306">
        <f t="shared" ca="1" si="211"/>
        <v>-0.58937967763634791</v>
      </c>
      <c r="E487" s="307">
        <f t="shared" ca="1" si="212"/>
        <v>-3.4260144583989485</v>
      </c>
      <c r="F487" s="304">
        <f t="shared" ca="1" si="213"/>
        <v>3.4763405290001961</v>
      </c>
      <c r="G487" s="306">
        <f t="shared" ca="1" si="214"/>
        <v>11.414767904477639</v>
      </c>
      <c r="H487" s="307">
        <f t="shared" ca="1" si="215"/>
        <v>-124.62237419050862</v>
      </c>
      <c r="I487" s="304">
        <f t="shared" ca="1" si="216"/>
        <v>125.14404929996569</v>
      </c>
      <c r="J487" s="306">
        <f t="shared" ca="1" si="217"/>
        <v>664.85828440095486</v>
      </c>
      <c r="K487" s="307">
        <f t="shared" ca="1" si="218"/>
        <v>609.70909983976878</v>
      </c>
      <c r="L487" s="304">
        <f t="shared" ca="1" si="203"/>
        <v>902.09851167375393</v>
      </c>
      <c r="M487" s="306">
        <f t="shared" ca="1" si="219"/>
        <v>-1.4794563417742039</v>
      </c>
      <c r="N487" s="304">
        <f t="shared" ca="1" si="220"/>
        <v>-84.766604357526148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4.0843000000000034</v>
      </c>
      <c r="T487" s="304">
        <f t="shared" ca="1" si="204"/>
        <v>40.066983000000036</v>
      </c>
      <c r="U487" s="311">
        <f t="shared" ca="1" si="205"/>
        <v>0</v>
      </c>
      <c r="V487" s="306">
        <f t="shared" ca="1" si="206"/>
        <v>1.1525202145080715</v>
      </c>
      <c r="W487" s="304">
        <f t="shared" ca="1" si="207"/>
        <v>26.358887071341115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 t="e">
        <f t="shared" ca="1" si="208"/>
        <v>#N/A</v>
      </c>
      <c r="AG487" s="306">
        <f t="shared" ca="1" si="230"/>
        <v>3.3573246476155694</v>
      </c>
      <c r="AH487" s="304">
        <f t="shared" ca="1" si="231"/>
        <v>-6.4111340494316602</v>
      </c>
    </row>
    <row r="488" spans="1:34" x14ac:dyDescent="0.2">
      <c r="A488" s="347">
        <f t="shared" ca="1" si="209"/>
        <v>0.1</v>
      </c>
      <c r="B488" s="304">
        <f t="shared" ca="1" si="210"/>
        <v>37.000000000000227</v>
      </c>
      <c r="D488" s="306">
        <f t="shared" ca="1" si="211"/>
        <v>-0.58866242765673371</v>
      </c>
      <c r="E488" s="307">
        <f t="shared" ca="1" si="212"/>
        <v>-3.383193082396911</v>
      </c>
      <c r="F488" s="304">
        <f t="shared" ca="1" si="213"/>
        <v>3.4340237166497598</v>
      </c>
      <c r="G488" s="306">
        <f t="shared" ca="1" si="214"/>
        <v>11.355901661711966</v>
      </c>
      <c r="H488" s="307">
        <f t="shared" ca="1" si="215"/>
        <v>-124.96069349874831</v>
      </c>
      <c r="I488" s="304">
        <f t="shared" ca="1" si="216"/>
        <v>125.47562082826525</v>
      </c>
      <c r="J488" s="306">
        <f t="shared" ca="1" si="217"/>
        <v>665.99681787926431</v>
      </c>
      <c r="K488" s="307">
        <f t="shared" ca="1" si="218"/>
        <v>597.22994645530594</v>
      </c>
      <c r="L488" s="304">
        <f t="shared" ca="1" si="203"/>
        <v>894.55875735935513</v>
      </c>
      <c r="M488" s="306">
        <f t="shared" ca="1" si="219"/>
        <v>-1.4801694682706292</v>
      </c>
      <c r="N488" s="304">
        <f t="shared" ca="1" si="220"/>
        <v>-84.80746349603028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4.0843000000000034</v>
      </c>
      <c r="T488" s="304">
        <f t="shared" ca="1" si="204"/>
        <v>40.066983000000036</v>
      </c>
      <c r="U488" s="311">
        <f t="shared" ca="1" si="205"/>
        <v>0</v>
      </c>
      <c r="V488" s="306">
        <f t="shared" ca="1" si="206"/>
        <v>1.1539606722545079</v>
      </c>
      <c r="W488" s="304">
        <f t="shared" ca="1" si="207"/>
        <v>26.531867859863628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>
        <f t="shared" ca="1" si="228"/>
        <v>37.000000000000227</v>
      </c>
      <c r="AD488" s="323">
        <f t="shared" ca="1" si="229"/>
        <v>665.99681787926431</v>
      </c>
      <c r="AE488" s="324" t="e">
        <f t="shared" ca="1" si="208"/>
        <v>#N/A</v>
      </c>
      <c r="AG488" s="306">
        <f t="shared" ca="1" si="230"/>
        <v>3.315396230250748</v>
      </c>
      <c r="AH488" s="304">
        <f t="shared" ca="1" si="231"/>
        <v>-6.4537098331026357</v>
      </c>
    </row>
    <row r="489" spans="1:34" x14ac:dyDescent="0.2">
      <c r="A489" s="347">
        <f t="shared" ca="1" si="209"/>
        <v>0.1</v>
      </c>
      <c r="B489" s="304">
        <f t="shared" ca="1" si="210"/>
        <v>37.100000000000229</v>
      </c>
      <c r="D489" s="306">
        <f t="shared" ca="1" si="211"/>
        <v>-0.58791218461884609</v>
      </c>
      <c r="E489" s="307">
        <f t="shared" ca="1" si="212"/>
        <v>-3.3405961169040452</v>
      </c>
      <c r="F489" s="304">
        <f t="shared" ca="1" si="213"/>
        <v>3.3919350160487585</v>
      </c>
      <c r="G489" s="306">
        <f t="shared" ca="1" si="214"/>
        <v>11.297110443250082</v>
      </c>
      <c r="H489" s="307">
        <f t="shared" ca="1" si="215"/>
        <v>-125.29475311043872</v>
      </c>
      <c r="I489" s="304">
        <f t="shared" ca="1" si="216"/>
        <v>125.80302008049244</v>
      </c>
      <c r="J489" s="306">
        <f t="shared" ca="1" si="217"/>
        <v>667.12946848451247</v>
      </c>
      <c r="K489" s="307">
        <f t="shared" ca="1" si="218"/>
        <v>584.71717412484657</v>
      </c>
      <c r="L489" s="304">
        <f t="shared" ca="1" si="203"/>
        <v>887.10534968343768</v>
      </c>
      <c r="M489" s="306">
        <f t="shared" ca="1" si="219"/>
        <v>-1.4808752009793151</v>
      </c>
      <c r="N489" s="304">
        <f t="shared" ca="1" si="220"/>
        <v>-84.847899001702316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4.0843000000000034</v>
      </c>
      <c r="T489" s="304">
        <f t="shared" ca="1" si="204"/>
        <v>40.066983000000036</v>
      </c>
      <c r="U489" s="311">
        <f t="shared" ca="1" si="205"/>
        <v>0</v>
      </c>
      <c r="V489" s="306">
        <f t="shared" ca="1" si="206"/>
        <v>1.1554067641790773</v>
      </c>
      <c r="W489" s="304">
        <f t="shared" ca="1" si="207"/>
        <v>26.70392817496408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 t="e">
        <f t="shared" ca="1" si="208"/>
        <v>#N/A</v>
      </c>
      <c r="AG489" s="306">
        <f t="shared" ca="1" si="230"/>
        <v>3.2736792358692988</v>
      </c>
      <c r="AH489" s="304">
        <f t="shared" ca="1" si="231"/>
        <v>-6.4960624488562555</v>
      </c>
    </row>
    <row r="490" spans="1:34" x14ac:dyDescent="0.2">
      <c r="A490" s="347">
        <f t="shared" ca="1" si="209"/>
        <v>0.1</v>
      </c>
      <c r="B490" s="304">
        <f t="shared" ca="1" si="210"/>
        <v>37.20000000000023</v>
      </c>
      <c r="D490" s="306">
        <f t="shared" ca="1" si="211"/>
        <v>-0.58712939519450069</v>
      </c>
      <c r="E490" s="307">
        <f t="shared" ca="1" si="212"/>
        <v>-3.298225773810147</v>
      </c>
      <c r="F490" s="304">
        <f t="shared" ca="1" si="213"/>
        <v>3.3500767426623232</v>
      </c>
      <c r="G490" s="306">
        <f t="shared" ca="1" si="214"/>
        <v>11.238397503730631</v>
      </c>
      <c r="H490" s="307">
        <f t="shared" ca="1" si="215"/>
        <v>-125.62457568781973</v>
      </c>
      <c r="I490" s="304">
        <f t="shared" ca="1" si="216"/>
        <v>126.12626845822645</v>
      </c>
      <c r="J490" s="306">
        <f t="shared" ca="1" si="217"/>
        <v>668.25624388186156</v>
      </c>
      <c r="K490" s="307">
        <f t="shared" ca="1" si="218"/>
        <v>572.17120768493362</v>
      </c>
      <c r="L490" s="304">
        <f t="shared" ca="1" si="203"/>
        <v>879.74217722621972</v>
      </c>
      <c r="M490" s="306">
        <f t="shared" ca="1" si="219"/>
        <v>-1.4815736581866303</v>
      </c>
      <c r="N490" s="304">
        <f t="shared" ca="1" si="220"/>
        <v>-84.887917651851964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4.0843000000000034</v>
      </c>
      <c r="T490" s="304">
        <f t="shared" ca="1" si="204"/>
        <v>40.066983000000036</v>
      </c>
      <c r="U490" s="311">
        <f t="shared" ca="1" si="205"/>
        <v>0</v>
      </c>
      <c r="V490" s="306">
        <f t="shared" ca="1" si="206"/>
        <v>1.1568584584642956</v>
      </c>
      <c r="W490" s="304">
        <f t="shared" ca="1" si="207"/>
        <v>26.875059324374512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 t="e">
        <f t="shared" ca="1" si="208"/>
        <v>#N/A</v>
      </c>
      <c r="AG490" s="306">
        <f t="shared" ca="1" si="230"/>
        <v>3.2321761286006598</v>
      </c>
      <c r="AH490" s="304">
        <f t="shared" ca="1" si="231"/>
        <v>-6.5381896958999235</v>
      </c>
    </row>
    <row r="491" spans="1:34" x14ac:dyDescent="0.2">
      <c r="A491" s="347">
        <f t="shared" ca="1" si="209"/>
        <v>0.1</v>
      </c>
      <c r="B491" s="304">
        <f t="shared" ca="1" si="210"/>
        <v>37.300000000000232</v>
      </c>
      <c r="D491" s="306">
        <f t="shared" ca="1" si="211"/>
        <v>-0.58631450615661496</v>
      </c>
      <c r="E491" s="307">
        <f t="shared" ca="1" si="212"/>
        <v>-3.256084192066699</v>
      </c>
      <c r="F491" s="304">
        <f t="shared" ca="1" si="213"/>
        <v>3.308451143051129</v>
      </c>
      <c r="G491" s="306">
        <f t="shared" ca="1" si="214"/>
        <v>11.179766053114969</v>
      </c>
      <c r="H491" s="307">
        <f t="shared" ca="1" si="215"/>
        <v>-125.9501841070264</v>
      </c>
      <c r="I491" s="304">
        <f t="shared" ca="1" si="216"/>
        <v>126.44538760111507</v>
      </c>
      <c r="J491" s="306">
        <f t="shared" ca="1" si="217"/>
        <v>669.3771520597038</v>
      </c>
      <c r="K491" s="307">
        <f t="shared" ca="1" si="218"/>
        <v>559.59246969519131</v>
      </c>
      <c r="L491" s="304">
        <f t="shared" ca="1" si="203"/>
        <v>872.47321095786288</v>
      </c>
      <c r="M491" s="306">
        <f t="shared" ca="1" si="219"/>
        <v>-1.4822649555365695</v>
      </c>
      <c r="N491" s="304">
        <f t="shared" ca="1" si="220"/>
        <v>-84.927526072392055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4.0843000000000034</v>
      </c>
      <c r="T491" s="304">
        <f t="shared" ca="1" si="204"/>
        <v>40.066983000000036</v>
      </c>
      <c r="U491" s="311">
        <f t="shared" ca="1" si="205"/>
        <v>0</v>
      </c>
      <c r="V491" s="306">
        <f t="shared" ca="1" si="206"/>
        <v>1.1583157234135808</v>
      </c>
      <c r="W491" s="304">
        <f t="shared" ca="1" si="207"/>
        <v>27.045252909815542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 t="e">
        <f t="shared" ca="1" si="208"/>
        <v>#N/A</v>
      </c>
      <c r="AG491" s="306">
        <f t="shared" ca="1" si="230"/>
        <v>3.1908892926860819</v>
      </c>
      <c r="AH491" s="304">
        <f t="shared" ca="1" si="231"/>
        <v>-6.5800894460187767</v>
      </c>
    </row>
    <row r="492" spans="1:34" x14ac:dyDescent="0.2">
      <c r="A492" s="347">
        <f t="shared" ca="1" si="209"/>
        <v>0.1</v>
      </c>
      <c r="B492" s="304">
        <f t="shared" ca="1" si="210"/>
        <v>37.400000000000233</v>
      </c>
      <c r="D492" s="306">
        <f t="shared" ca="1" si="211"/>
        <v>-0.5854679642565358</v>
      </c>
      <c r="E492" s="307">
        <f t="shared" ca="1" si="212"/>
        <v>-3.2141734382866796</v>
      </c>
      <c r="F492" s="304">
        <f t="shared" ca="1" si="213"/>
        <v>3.2670603956092252</v>
      </c>
      <c r="G492" s="306">
        <f t="shared" ca="1" si="214"/>
        <v>11.121219256689315</v>
      </c>
      <c r="H492" s="307">
        <f t="shared" ca="1" si="215"/>
        <v>-126.27160145085507</v>
      </c>
      <c r="I492" s="304">
        <f t="shared" ca="1" si="216"/>
        <v>126.7603993789817</v>
      </c>
      <c r="J492" s="306">
        <f t="shared" ca="1" si="217"/>
        <v>670.49220132519406</v>
      </c>
      <c r="K492" s="307">
        <f t="shared" ca="1" si="218"/>
        <v>546.98138041729726</v>
      </c>
      <c r="L492" s="304">
        <f t="shared" ca="1" si="203"/>
        <v>865.30250349869937</v>
      </c>
      <c r="M492" s="306">
        <f t="shared" ca="1" si="219"/>
        <v>-1.4829492061036871</v>
      </c>
      <c r="N492" s="304">
        <f t="shared" ca="1" si="220"/>
        <v>-84.966730742017333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4.0843000000000034</v>
      </c>
      <c r="T492" s="304">
        <f t="shared" ca="1" si="204"/>
        <v>40.066983000000036</v>
      </c>
      <c r="U492" s="311">
        <f t="shared" ca="1" si="205"/>
        <v>0</v>
      </c>
      <c r="V492" s="306">
        <f t="shared" ca="1" si="206"/>
        <v>1.159778527453206</v>
      </c>
      <c r="W492" s="304">
        <f t="shared" ca="1" si="207"/>
        <v>27.214500824493683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 t="e">
        <f t="shared" ca="1" si="208"/>
        <v>#N/A</v>
      </c>
      <c r="AG492" s="306">
        <f t="shared" ca="1" si="230"/>
        <v>3.1498210333187959</v>
      </c>
      <c r="AH492" s="304">
        <f t="shared" ca="1" si="231"/>
        <v>-6.621759642978116</v>
      </c>
    </row>
    <row r="493" spans="1:34" x14ac:dyDescent="0.2">
      <c r="A493" s="347">
        <f t="shared" ca="1" si="209"/>
        <v>0.1</v>
      </c>
      <c r="B493" s="304">
        <f t="shared" ca="1" si="210"/>
        <v>37.500000000000234</v>
      </c>
      <c r="D493" s="306">
        <f t="shared" ca="1" si="211"/>
        <v>-0.58459021610368422</v>
      </c>
      <c r="E493" s="307">
        <f t="shared" ca="1" si="212"/>
        <v>-3.1724955073596535</v>
      </c>
      <c r="F493" s="304">
        <f t="shared" ca="1" si="213"/>
        <v>3.2259066113236039</v>
      </c>
      <c r="G493" s="306">
        <f t="shared" ca="1" si="214"/>
        <v>11.062760235078947</v>
      </c>
      <c r="H493" s="307">
        <f t="shared" ca="1" si="215"/>
        <v>-126.58885100159104</v>
      </c>
      <c r="I493" s="304">
        <f t="shared" ca="1" si="216"/>
        <v>127.07132588401626</v>
      </c>
      <c r="J493" s="306">
        <f t="shared" ca="1" si="217"/>
        <v>671.60140029978243</v>
      </c>
      <c r="K493" s="307">
        <f t="shared" ca="1" si="218"/>
        <v>534.33835779467495</v>
      </c>
      <c r="L493" s="304">
        <f t="shared" ca="1" si="203"/>
        <v>858.23418802523747</v>
      </c>
      <c r="M493" s="306">
        <f t="shared" ca="1" si="219"/>
        <v>-1.483626520463651</v>
      </c>
      <c r="N493" s="304">
        <f t="shared" ca="1" si="220"/>
        <v>-85.005537996246858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4.0843000000000034</v>
      </c>
      <c r="T493" s="304">
        <f t="shared" ca="1" si="204"/>
        <v>40.066983000000036</v>
      </c>
      <c r="U493" s="311">
        <f t="shared" ca="1" si="205"/>
        <v>0</v>
      </c>
      <c r="V493" s="306">
        <f t="shared" ca="1" si="206"/>
        <v>1.1612468391342148</v>
      </c>
      <c r="W493" s="304">
        <f t="shared" ca="1" si="207"/>
        <v>27.382795250539456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 t="e">
        <f t="shared" ca="1" si="208"/>
        <v>#N/A</v>
      </c>
      <c r="AG493" s="306">
        <f t="shared" ca="1" si="230"/>
        <v>3.1089735774900644</v>
      </c>
      <c r="AH493" s="304">
        <f t="shared" ca="1" si="231"/>
        <v>-6.663198301910648</v>
      </c>
    </row>
    <row r="494" spans="1:34" x14ac:dyDescent="0.2">
      <c r="A494" s="347">
        <f t="shared" ca="1" si="209"/>
        <v>0.1</v>
      </c>
      <c r="B494" s="304">
        <f t="shared" ca="1" si="210"/>
        <v>37.600000000000236</v>
      </c>
      <c r="D494" s="306">
        <f t="shared" ca="1" si="211"/>
        <v>-0.58368170804756203</v>
      </c>
      <c r="E494" s="307">
        <f t="shared" ca="1" si="212"/>
        <v>-3.1310523230814891</v>
      </c>
      <c r="F494" s="304">
        <f t="shared" ca="1" si="213"/>
        <v>3.1849918345552015</v>
      </c>
      <c r="G494" s="306">
        <f t="shared" ca="1" si="214"/>
        <v>11.004392064274191</v>
      </c>
      <c r="H494" s="307">
        <f t="shared" ca="1" si="215"/>
        <v>-126.90195623389918</v>
      </c>
      <c r="I494" s="304">
        <f t="shared" ca="1" si="216"/>
        <v>127.37818942305125</v>
      </c>
      <c r="J494" s="306">
        <f t="shared" ca="1" si="217"/>
        <v>672.70475791475008</v>
      </c>
      <c r="K494" s="307">
        <f t="shared" ca="1" si="218"/>
        <v>521.66381743290049</v>
      </c>
      <c r="L494" s="304">
        <f t="shared" ca="1" si="203"/>
        <v>851.27247678978142</v>
      </c>
      <c r="M494" s="306">
        <f t="shared" ca="1" si="219"/>
        <v>-1.4842970067615067</v>
      </c>
      <c r="N494" s="304">
        <f t="shared" ca="1" si="220"/>
        <v>-85.043954031335346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4.0843000000000034</v>
      </c>
      <c r="T494" s="304">
        <f t="shared" ca="1" si="204"/>
        <v>40.066983000000036</v>
      </c>
      <c r="U494" s="311">
        <f t="shared" ca="1" si="205"/>
        <v>0</v>
      </c>
      <c r="V494" s="306">
        <f t="shared" ca="1" si="206"/>
        <v>1.1627206271342923</v>
      </c>
      <c r="W494" s="304">
        <f t="shared" ca="1" si="207"/>
        <v>27.550128656388594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 t="e">
        <f t="shared" ca="1" si="228"/>
        <v>#N/A</v>
      </c>
      <c r="AD494" s="323" t="e">
        <f t="shared" ca="1" si="229"/>
        <v>#N/A</v>
      </c>
      <c r="AE494" s="324" t="e">
        <f t="shared" ca="1" si="208"/>
        <v>#N/A</v>
      </c>
      <c r="AG494" s="306">
        <f t="shared" ca="1" si="230"/>
        <v>3.0683490748408131</v>
      </c>
      <c r="AH494" s="304">
        <f t="shared" ca="1" si="231"/>
        <v>-6.7044035086892331</v>
      </c>
    </row>
    <row r="495" spans="1:34" x14ac:dyDescent="0.2">
      <c r="A495" s="347">
        <f t="shared" ca="1" si="209"/>
        <v>0.1</v>
      </c>
      <c r="B495" s="304">
        <f t="shared" ca="1" si="210"/>
        <v>37.700000000000237</v>
      </c>
      <c r="D495" s="306">
        <f t="shared" ca="1" si="211"/>
        <v>-0.58274288606209856</v>
      </c>
      <c r="E495" s="307">
        <f t="shared" ca="1" si="212"/>
        <v>-3.0898457387981022</v>
      </c>
      <c r="F495" s="304">
        <f t="shared" ca="1" si="213"/>
        <v>3.1443180438411082</v>
      </c>
      <c r="G495" s="306">
        <f t="shared" ca="1" si="214"/>
        <v>10.946117775667981</v>
      </c>
      <c r="H495" s="307">
        <f t="shared" ca="1" si="215"/>
        <v>-127.210940807779</v>
      </c>
      <c r="I495" s="304">
        <f t="shared" ca="1" si="216"/>
        <v>127.68101250992274</v>
      </c>
      <c r="J495" s="306">
        <f t="shared" ca="1" si="217"/>
        <v>673.80228340674716</v>
      </c>
      <c r="K495" s="307">
        <f t="shared" ca="1" si="218"/>
        <v>508.95817258081655</v>
      </c>
      <c r="L495" s="304">
        <f t="shared" ca="1" si="203"/>
        <v>844.42165922064714</v>
      </c>
      <c r="M495" s="306">
        <f t="shared" ca="1" si="219"/>
        <v>-1.4849607707777384</v>
      </c>
      <c r="N495" s="304">
        <f t="shared" ca="1" si="220"/>
        <v>-85.081984908058075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4.0843000000000034</v>
      </c>
      <c r="T495" s="304">
        <f t="shared" ca="1" si="204"/>
        <v>40.066983000000036</v>
      </c>
      <c r="U495" s="311">
        <f t="shared" ca="1" si="205"/>
        <v>0</v>
      </c>
      <c r="V495" s="306">
        <f t="shared" ca="1" si="206"/>
        <v>1.1641998602595967</v>
      </c>
      <c r="W495" s="304">
        <f t="shared" ca="1" si="207"/>
        <v>27.716493794108619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 t="e">
        <f t="shared" ca="1" si="208"/>
        <v>#N/A</v>
      </c>
      <c r="AG495" s="306">
        <f t="shared" ca="1" si="230"/>
        <v>3.0279495985186671</v>
      </c>
      <c r="AH495" s="304">
        <f t="shared" ca="1" si="231"/>
        <v>-6.7453734192856967</v>
      </c>
    </row>
    <row r="496" spans="1:34" x14ac:dyDescent="0.2">
      <c r="A496" s="347">
        <f t="shared" ca="1" si="209"/>
        <v>0.1</v>
      </c>
      <c r="B496" s="304">
        <f t="shared" ca="1" si="210"/>
        <v>37.800000000000239</v>
      </c>
      <c r="D496" s="306">
        <f t="shared" ca="1" si="211"/>
        <v>-0.58177419563235044</v>
      </c>
      <c r="E496" s="307">
        <f t="shared" ca="1" si="212"/>
        <v>-3.048877538062678</v>
      </c>
      <c r="F496" s="304">
        <f t="shared" ca="1" si="213"/>
        <v>3.1038871527178311</v>
      </c>
      <c r="G496" s="306">
        <f t="shared" ca="1" si="214"/>
        <v>10.887940356104746</v>
      </c>
      <c r="H496" s="307">
        <f t="shared" ca="1" si="215"/>
        <v>-127.51582856158527</v>
      </c>
      <c r="I496" s="304">
        <f t="shared" ca="1" si="216"/>
        <v>127.97981785791735</v>
      </c>
      <c r="J496" s="306">
        <f t="shared" ca="1" si="217"/>
        <v>674.89398631333574</v>
      </c>
      <c r="K496" s="307">
        <f t="shared" ca="1" si="218"/>
        <v>496.22183411234835</v>
      </c>
      <c r="L496" s="304">
        <f t="shared" ca="1" si="203"/>
        <v>837.68609956936018</v>
      </c>
      <c r="M496" s="306">
        <f t="shared" ca="1" si="219"/>
        <v>-1.485617915992208</v>
      </c>
      <c r="N496" s="304">
        <f t="shared" ca="1" si="220"/>
        <v>-85.119636555374413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4.0843000000000034</v>
      </c>
      <c r="T496" s="304">
        <f t="shared" ca="1" si="204"/>
        <v>40.066983000000036</v>
      </c>
      <c r="U496" s="311">
        <f t="shared" ca="1" si="205"/>
        <v>0</v>
      </c>
      <c r="V496" s="306">
        <f t="shared" ca="1" si="206"/>
        <v>1.1656845074465452</v>
      </c>
      <c r="W496" s="304">
        <f t="shared" ca="1" si="207"/>
        <v>27.881883696673118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 t="e">
        <f t="shared" ca="1" si="208"/>
        <v>#N/A</v>
      </c>
      <c r="AG496" s="306">
        <f t="shared" ca="1" si="230"/>
        <v>2.9877771460402176</v>
      </c>
      <c r="AH496" s="304">
        <f t="shared" ca="1" si="231"/>
        <v>-6.7861062591162735</v>
      </c>
    </row>
    <row r="497" spans="1:34" x14ac:dyDescent="0.2">
      <c r="A497" s="347">
        <f t="shared" ca="1" si="209"/>
        <v>0.1</v>
      </c>
      <c r="B497" s="304">
        <f t="shared" ca="1" si="210"/>
        <v>37.90000000000024</v>
      </c>
      <c r="D497" s="306">
        <f t="shared" ca="1" si="211"/>
        <v>-0.58077608164354755</v>
      </c>
      <c r="E497" s="307">
        <f t="shared" ca="1" si="212"/>
        <v>-3.0081494353058007</v>
      </c>
      <c r="F497" s="304">
        <f t="shared" ca="1" si="213"/>
        <v>3.0637010105654632</v>
      </c>
      <c r="G497" s="306">
        <f t="shared" ca="1" si="214"/>
        <v>10.829862747940391</v>
      </c>
      <c r="H497" s="307">
        <f t="shared" ca="1" si="215"/>
        <v>-127.81664350511585</v>
      </c>
      <c r="I497" s="304">
        <f t="shared" ca="1" si="216"/>
        <v>128.27462837230556</v>
      </c>
      <c r="J497" s="306">
        <f t="shared" ca="1" si="217"/>
        <v>675.97987646853801</v>
      </c>
      <c r="K497" s="307">
        <f t="shared" ca="1" si="218"/>
        <v>483.45521050901328</v>
      </c>
      <c r="L497" s="304">
        <f t="shared" ca="1" si="203"/>
        <v>831.07023407094437</v>
      </c>
      <c r="M497" s="306">
        <f t="shared" ca="1" si="219"/>
        <v>-1.4862685436460528</v>
      </c>
      <c r="N497" s="304">
        <f t="shared" ca="1" si="220"/>
        <v>-85.156914773974208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4.0843000000000034</v>
      </c>
      <c r="T497" s="304">
        <f t="shared" ca="1" si="204"/>
        <v>40.066983000000036</v>
      </c>
      <c r="U497" s="311">
        <f t="shared" ca="1" si="205"/>
        <v>0</v>
      </c>
      <c r="V497" s="306">
        <f t="shared" ca="1" si="206"/>
        <v>1.1671745377635612</v>
      </c>
      <c r="W497" s="304">
        <f t="shared" ca="1" si="207"/>
        <v>28.046291675186243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 t="e">
        <f t="shared" ca="1" si="208"/>
        <v>#N/A</v>
      </c>
      <c r="AG497" s="306">
        <f t="shared" ca="1" si="230"/>
        <v>2.9478336401582705</v>
      </c>
      <c r="AH497" s="304">
        <f t="shared" ca="1" si="231"/>
        <v>-6.8266003223742366</v>
      </c>
    </row>
    <row r="498" spans="1:34" x14ac:dyDescent="0.2">
      <c r="A498" s="347">
        <f t="shared" ca="1" si="209"/>
        <v>0.1</v>
      </c>
      <c r="B498" s="304">
        <f t="shared" ca="1" si="210"/>
        <v>38.000000000000242</v>
      </c>
      <c r="D498" s="306">
        <f t="shared" ca="1" si="211"/>
        <v>-0.57974898827248944</v>
      </c>
      <c r="E498" s="307">
        <f t="shared" ca="1" si="212"/>
        <v>-2.9676630765178595</v>
      </c>
      <c r="F498" s="304">
        <f t="shared" ca="1" si="213"/>
        <v>3.0237614034725726</v>
      </c>
      <c r="G498" s="306">
        <f t="shared" ca="1" si="214"/>
        <v>10.771887849113142</v>
      </c>
      <c r="H498" s="307">
        <f t="shared" ca="1" si="215"/>
        <v>-128.11340981276763</v>
      </c>
      <c r="I498" s="304">
        <f t="shared" ca="1" si="216"/>
        <v>128.56546714296189</v>
      </c>
      <c r="J498" s="306">
        <f t="shared" ca="1" si="217"/>
        <v>677.05996399839069</v>
      </c>
      <c r="K498" s="307">
        <f t="shared" ca="1" si="218"/>
        <v>470.65870784311909</v>
      </c>
      <c r="L498" s="304">
        <f t="shared" ca="1" si="203"/>
        <v>824.57856758349988</v>
      </c>
      <c r="M498" s="306">
        <f t="shared" ca="1" si="219"/>
        <v>-1.4869127528016142</v>
      </c>
      <c r="N498" s="304">
        <f t="shared" ca="1" si="220"/>
        <v>-85.193825239711572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4.0843000000000034</v>
      </c>
      <c r="T498" s="304">
        <f t="shared" ca="1" si="204"/>
        <v>40.066983000000036</v>
      </c>
      <c r="U498" s="311">
        <f t="shared" ca="1" si="205"/>
        <v>0</v>
      </c>
      <c r="V498" s="306">
        <f t="shared" ca="1" si="206"/>
        <v>1.1686699204127793</v>
      </c>
      <c r="W498" s="304">
        <f t="shared" ca="1" si="207"/>
        <v>28.20971131605959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>
        <f t="shared" ca="1" si="228"/>
        <v>38.000000000000242</v>
      </c>
      <c r="AD498" s="323">
        <f t="shared" ca="1" si="229"/>
        <v>677.05996399839069</v>
      </c>
      <c r="AE498" s="324" t="e">
        <f t="shared" ca="1" si="208"/>
        <v>#N/A</v>
      </c>
      <c r="AG498" s="306">
        <f t="shared" ca="1" si="230"/>
        <v>2.9081209297338244</v>
      </c>
      <c r="AH498" s="304">
        <f t="shared" ca="1" si="231"/>
        <v>-6.8668539713503467</v>
      </c>
    </row>
    <row r="499" spans="1:34" x14ac:dyDescent="0.2">
      <c r="A499" s="347">
        <f t="shared" ca="1" si="209"/>
        <v>0.1</v>
      </c>
      <c r="B499" s="304">
        <f t="shared" ca="1" si="210"/>
        <v>38.100000000000243</v>
      </c>
      <c r="D499" s="306">
        <f t="shared" ca="1" si="211"/>
        <v>-0.57869335888128726</v>
      </c>
      <c r="E499" s="307">
        <f t="shared" ca="1" si="212"/>
        <v>-2.927420039943204</v>
      </c>
      <c r="F499" s="304">
        <f t="shared" ca="1" si="213"/>
        <v>2.9840700551217587</v>
      </c>
      <c r="G499" s="306">
        <f t="shared" ca="1" si="214"/>
        <v>10.714018513225014</v>
      </c>
      <c r="H499" s="307">
        <f t="shared" ca="1" si="215"/>
        <v>-128.40615181676196</v>
      </c>
      <c r="I499" s="304">
        <f t="shared" ca="1" si="216"/>
        <v>128.85235743707233</v>
      </c>
      <c r="J499" s="306">
        <f t="shared" ca="1" si="217"/>
        <v>678.13425931650761</v>
      </c>
      <c r="K499" s="307">
        <f t="shared" ca="1" si="218"/>
        <v>457.83272976164261</v>
      </c>
      <c r="L499" s="304">
        <f t="shared" ca="1" si="203"/>
        <v>818.21566967380045</v>
      </c>
      <c r="M499" s="306">
        <f t="shared" ca="1" si="219"/>
        <v>-1.4875506404004728</v>
      </c>
      <c r="N499" s="304">
        <f t="shared" ca="1" si="220"/>
        <v>-85.230373506929894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4.0843000000000034</v>
      </c>
      <c r="T499" s="304">
        <f t="shared" ca="1" si="204"/>
        <v>40.066983000000036</v>
      </c>
      <c r="U499" s="311">
        <f t="shared" ca="1" si="205"/>
        <v>0</v>
      </c>
      <c r="V499" s="306">
        <f t="shared" ca="1" si="206"/>
        <v>1.1701706247317092</v>
      </c>
      <c r="W499" s="304">
        <f t="shared" ca="1" si="207"/>
        <v>28.372136478143734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 t="e">
        <f t="shared" ca="1" si="208"/>
        <v>#N/A</v>
      </c>
      <c r="AG499" s="306">
        <f t="shared" ca="1" si="230"/>
        <v>2.8686407906125364</v>
      </c>
      <c r="AH499" s="304">
        <f t="shared" ca="1" si="231"/>
        <v>-6.9068656357416369</v>
      </c>
    </row>
    <row r="500" spans="1:34" x14ac:dyDescent="0.2">
      <c r="A500" s="347">
        <f t="shared" ca="1" si="209"/>
        <v>0.1</v>
      </c>
      <c r="B500" s="304">
        <f t="shared" ca="1" si="210"/>
        <v>38.200000000000244</v>
      </c>
      <c r="D500" s="306">
        <f t="shared" ca="1" si="211"/>
        <v>-0.57760963591345282</v>
      </c>
      <c r="E500" s="307">
        <f t="shared" ca="1" si="212"/>
        <v>-2.8874218367854878</v>
      </c>
      <c r="F500" s="304">
        <f t="shared" ca="1" si="213"/>
        <v>2.9446286276958173</v>
      </c>
      <c r="G500" s="306">
        <f t="shared" ca="1" si="214"/>
        <v>10.656257549633668</v>
      </c>
      <c r="H500" s="307">
        <f t="shared" ca="1" si="215"/>
        <v>-128.69489400044051</v>
      </c>
      <c r="I500" s="304">
        <f t="shared" ca="1" si="216"/>
        <v>129.13532269192945</v>
      </c>
      <c r="J500" s="306">
        <f t="shared" ca="1" si="217"/>
        <v>679.20277311965049</v>
      </c>
      <c r="K500" s="307">
        <f t="shared" ca="1" si="218"/>
        <v>444.97767747078251</v>
      </c>
      <c r="L500" s="304">
        <f t="shared" ca="1" si="203"/>
        <v>811.98617011665601</v>
      </c>
      <c r="M500" s="306">
        <f t="shared" ca="1" si="219"/>
        <v>-1.488182301319658</v>
      </c>
      <c r="N500" s="304">
        <f t="shared" ca="1" si="220"/>
        <v>-85.266565011682559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4.0843000000000034</v>
      </c>
      <c r="T500" s="304">
        <f t="shared" ca="1" si="204"/>
        <v>40.066983000000036</v>
      </c>
      <c r="U500" s="311">
        <f t="shared" ca="1" si="205"/>
        <v>0</v>
      </c>
      <c r="V500" s="306">
        <f t="shared" ca="1" si="206"/>
        <v>1.1716766201948585</v>
      </c>
      <c r="W500" s="304">
        <f t="shared" ca="1" si="207"/>
        <v>28.533561289816706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 t="e">
        <f t="shared" ca="1" si="208"/>
        <v>#N/A</v>
      </c>
      <c r="AG500" s="306">
        <f t="shared" ca="1" si="230"/>
        <v>2.829394926505433</v>
      </c>
      <c r="AH500" s="304">
        <f t="shared" ca="1" si="231"/>
        <v>-6.9466338119491002</v>
      </c>
    </row>
    <row r="501" spans="1:34" x14ac:dyDescent="0.2">
      <c r="A501" s="347">
        <f t="shared" ca="1" si="209"/>
        <v>0.1</v>
      </c>
      <c r="B501" s="304">
        <f t="shared" ca="1" si="210"/>
        <v>38.300000000000246</v>
      </c>
      <c r="D501" s="306">
        <f t="shared" ca="1" si="211"/>
        <v>-0.57649826079231681</v>
      </c>
      <c r="E501" s="307">
        <f t="shared" ca="1" si="212"/>
        <v>-2.8476699119236351</v>
      </c>
      <c r="F501" s="304">
        <f t="shared" ca="1" si="213"/>
        <v>2.9054387228044805</v>
      </c>
      <c r="G501" s="306">
        <f t="shared" ca="1" si="214"/>
        <v>10.598607723554437</v>
      </c>
      <c r="H501" s="307">
        <f t="shared" ca="1" si="215"/>
        <v>-128.97966099163287</v>
      </c>
      <c r="I501" s="304">
        <f t="shared" ca="1" si="216"/>
        <v>129.41438650781578</v>
      </c>
      <c r="J501" s="306">
        <f t="shared" ca="1" si="217"/>
        <v>680.26551638330989</v>
      </c>
      <c r="K501" s="307">
        <f t="shared" ca="1" si="218"/>
        <v>432.09394972117883</v>
      </c>
      <c r="L501" s="304">
        <f t="shared" ca="1" si="203"/>
        <v>805.89475377737745</v>
      </c>
      <c r="M501" s="306">
        <f t="shared" ca="1" si="219"/>
        <v>-1.4888078284260984</v>
      </c>
      <c r="N501" s="304">
        <f t="shared" ca="1" si="220"/>
        <v>-85.302405074852629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4.0843000000000034</v>
      </c>
      <c r="T501" s="304">
        <f t="shared" ca="1" si="204"/>
        <v>40.066983000000036</v>
      </c>
      <c r="U501" s="311">
        <f t="shared" ca="1" si="205"/>
        <v>0</v>
      </c>
      <c r="V501" s="306">
        <f t="shared" ca="1" si="206"/>
        <v>1.173187876415313</v>
      </c>
      <c r="W501" s="304">
        <f t="shared" ca="1" si="207"/>
        <v>28.693980146031663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 t="e">
        <f t="shared" ca="1" si="208"/>
        <v>#N/A</v>
      </c>
      <c r="AG501" s="306">
        <f t="shared" ca="1" si="230"/>
        <v>2.7903849698735996</v>
      </c>
      <c r="AH501" s="304">
        <f t="shared" ca="1" si="231"/>
        <v>-6.9861570623648319</v>
      </c>
    </row>
    <row r="502" spans="1:34" x14ac:dyDescent="0.2">
      <c r="A502" s="347">
        <f t="shared" ca="1" si="209"/>
        <v>0.1</v>
      </c>
      <c r="B502" s="304">
        <f t="shared" ca="1" si="210"/>
        <v>38.400000000000247</v>
      </c>
      <c r="D502" s="306">
        <f t="shared" ca="1" si="211"/>
        <v>-0.57535967382178144</v>
      </c>
      <c r="E502" s="307">
        <f t="shared" ca="1" si="212"/>
        <v>-2.8081656446378735</v>
      </c>
      <c r="F502" s="304">
        <f t="shared" ca="1" si="213"/>
        <v>2.8665018824317472</v>
      </c>
      <c r="G502" s="306">
        <f t="shared" ca="1" si="214"/>
        <v>10.54107175617226</v>
      </c>
      <c r="H502" s="307">
        <f t="shared" ca="1" si="215"/>
        <v>-129.26047755609665</v>
      </c>
      <c r="I502" s="304">
        <f t="shared" ca="1" si="216"/>
        <v>129.6895726409758</v>
      </c>
      <c r="J502" s="306">
        <f t="shared" ca="1" si="217"/>
        <v>681.32250035729624</v>
      </c>
      <c r="K502" s="307">
        <f t="shared" ca="1" si="218"/>
        <v>419.18194279379236</v>
      </c>
      <c r="L502" s="304">
        <f t="shared" ca="1" si="203"/>
        <v>799.94615484887242</v>
      </c>
      <c r="M502" s="306">
        <f t="shared" ca="1" si="219"/>
        <v>-1.4894273126293747</v>
      </c>
      <c r="N502" s="304">
        <f t="shared" ca="1" si="220"/>
        <v>-85.337898905175379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4.0843000000000034</v>
      </c>
      <c r="T502" s="304">
        <f t="shared" ca="1" si="204"/>
        <v>40.066983000000036</v>
      </c>
      <c r="U502" s="311">
        <f t="shared" ca="1" si="205"/>
        <v>0</v>
      </c>
      <c r="V502" s="306">
        <f t="shared" ca="1" si="206"/>
        <v>1.1747043631462804</v>
      </c>
      <c r="W502" s="304">
        <f t="shared" ca="1" si="207"/>
        <v>28.853387705326011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 t="e">
        <f t="shared" ca="1" si="208"/>
        <v>#N/A</v>
      </c>
      <c r="AG502" s="306">
        <f t="shared" ca="1" si="230"/>
        <v>2.7516124828165687</v>
      </c>
      <c r="AH502" s="304">
        <f t="shared" ca="1" si="231"/>
        <v>-7.0254340146491785</v>
      </c>
    </row>
    <row r="503" spans="1:34" x14ac:dyDescent="0.2">
      <c r="A503" s="347">
        <f t="shared" ca="1" si="209"/>
        <v>0.1</v>
      </c>
      <c r="B503" s="304">
        <f t="shared" ca="1" si="210"/>
        <v>38.500000000000249</v>
      </c>
      <c r="D503" s="306">
        <f t="shared" ca="1" si="211"/>
        <v>-0.57419431408941557</v>
      </c>
      <c r="E503" s="307">
        <f t="shared" ca="1" si="212"/>
        <v>-2.7689103493452842</v>
      </c>
      <c r="F503" s="304">
        <f t="shared" ca="1" si="213"/>
        <v>2.8278195899038607</v>
      </c>
      <c r="G503" s="306">
        <f t="shared" ca="1" si="214"/>
        <v>10.483652324763318</v>
      </c>
      <c r="H503" s="307">
        <f t="shared" ca="1" si="215"/>
        <v>-129.53736859103117</v>
      </c>
      <c r="I503" s="304">
        <f t="shared" ca="1" si="216"/>
        <v>129.96090499667653</v>
      </c>
      <c r="J503" s="306">
        <f t="shared" ca="1" si="217"/>
        <v>682.37373656134298</v>
      </c>
      <c r="K503" s="307">
        <f t="shared" ca="1" si="218"/>
        <v>406.24205048643597</v>
      </c>
      <c r="L503" s="304">
        <f t="shared" ca="1" si="203"/>
        <v>794.1451504178018</v>
      </c>
      <c r="M503" s="306">
        <f t="shared" ca="1" si="219"/>
        <v>-1.4900408429328411</v>
      </c>
      <c r="N503" s="304">
        <f t="shared" ca="1" si="220"/>
        <v>-85.373051602167394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4.0843000000000034</v>
      </c>
      <c r="T503" s="304">
        <f t="shared" ca="1" si="204"/>
        <v>40.066983000000036</v>
      </c>
      <c r="U503" s="311">
        <f t="shared" ca="1" si="205"/>
        <v>0</v>
      </c>
      <c r="V503" s="306">
        <f t="shared" ca="1" si="206"/>
        <v>1.1762260502825881</v>
      </c>
      <c r="W503" s="304">
        <f t="shared" ca="1" si="207"/>
        <v>29.011778886793891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 t="e">
        <f t="shared" ca="1" si="208"/>
        <v>#N/A</v>
      </c>
      <c r="AG503" s="306">
        <f t="shared" ca="1" si="230"/>
        <v>2.7130789579640915</v>
      </c>
      <c r="AH503" s="304">
        <f t="shared" ca="1" si="231"/>
        <v>-7.0644633609984542</v>
      </c>
    </row>
    <row r="504" spans="1:34" x14ac:dyDescent="0.2">
      <c r="A504" s="347">
        <f t="shared" ca="1" si="209"/>
        <v>0.1</v>
      </c>
      <c r="B504" s="304">
        <f t="shared" ca="1" si="210"/>
        <v>38.60000000000025</v>
      </c>
      <c r="D504" s="306">
        <f t="shared" ca="1" si="211"/>
        <v>-0.57300261937184349</v>
      </c>
      <c r="E504" s="307">
        <f t="shared" ca="1" si="212"/>
        <v>-2.729905276344379</v>
      </c>
      <c r="F504" s="304">
        <f t="shared" ca="1" si="213"/>
        <v>2.7893932708780729</v>
      </c>
      <c r="G504" s="306">
        <f t="shared" ca="1" si="214"/>
        <v>10.426352062826133</v>
      </c>
      <c r="H504" s="307">
        <f t="shared" ca="1" si="215"/>
        <v>-129.81035911866562</v>
      </c>
      <c r="I504" s="304">
        <f t="shared" ca="1" si="216"/>
        <v>130.22840762235762</v>
      </c>
      <c r="J504" s="306">
        <f t="shared" ca="1" si="217"/>
        <v>683.41923678072249</v>
      </c>
      <c r="K504" s="307">
        <f t="shared" ca="1" si="218"/>
        <v>393.27466410095116</v>
      </c>
      <c r="L504" s="304">
        <f t="shared" ca="1" si="203"/>
        <v>788.49655333784517</v>
      </c>
      <c r="M504" s="306">
        <f t="shared" ca="1" si="219"/>
        <v>-1.4906485064831696</v>
      </c>
      <c r="N504" s="304">
        <f t="shared" ca="1" si="220"/>
        <v>-85.407868158965144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4.0843000000000034</v>
      </c>
      <c r="T504" s="304">
        <f t="shared" ca="1" si="204"/>
        <v>40.066983000000036</v>
      </c>
      <c r="U504" s="311">
        <f t="shared" ca="1" si="205"/>
        <v>0</v>
      </c>
      <c r="V504" s="306">
        <f t="shared" ca="1" si="206"/>
        <v>1.1777529078621467</v>
      </c>
      <c r="W504" s="304">
        <f t="shared" ca="1" si="207"/>
        <v>29.169148867024568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 t="e">
        <f t="shared" ca="1" si="228"/>
        <v>#N/A</v>
      </c>
      <c r="AD504" s="323" t="e">
        <f t="shared" ca="1" si="229"/>
        <v>#N/A</v>
      </c>
      <c r="AE504" s="324" t="e">
        <f t="shared" ca="1" si="208"/>
        <v>#N/A</v>
      </c>
      <c r="AG504" s="306">
        <f t="shared" ca="1" si="230"/>
        <v>2.6747858193711336</v>
      </c>
      <c r="AH504" s="304">
        <f t="shared" ca="1" si="231"/>
        <v>-7.103243857403684</v>
      </c>
    </row>
    <row r="505" spans="1:34" x14ac:dyDescent="0.2">
      <c r="A505" s="347">
        <f t="shared" ca="1" si="209"/>
        <v>0.1</v>
      </c>
      <c r="B505" s="304">
        <f t="shared" ca="1" si="210"/>
        <v>38.700000000000252</v>
      </c>
      <c r="D505" s="306">
        <f t="shared" ca="1" si="211"/>
        <v>-0.57178502604245673</v>
      </c>
      <c r="E505" s="307">
        <f t="shared" ca="1" si="212"/>
        <v>-2.6911516125681096</v>
      </c>
      <c r="F505" s="304">
        <f t="shared" ca="1" si="213"/>
        <v>2.7512242943522995</v>
      </c>
      <c r="G505" s="306">
        <f t="shared" ca="1" si="214"/>
        <v>10.369173560221888</v>
      </c>
      <c r="H505" s="307">
        <f t="shared" ca="1" si="215"/>
        <v>-130.07947427992244</v>
      </c>
      <c r="I505" s="304">
        <f t="shared" ca="1" si="216"/>
        <v>130.49210470087073</v>
      </c>
      <c r="J505" s="306">
        <f t="shared" ca="1" si="217"/>
        <v>684.45901306187488</v>
      </c>
      <c r="K505" s="307">
        <f t="shared" ca="1" si="218"/>
        <v>380.28017243102175</v>
      </c>
      <c r="L505" s="304">
        <f t="shared" ca="1" si="203"/>
        <v>783.00520439254012</v>
      </c>
      <c r="M505" s="306">
        <f t="shared" ca="1" si="219"/>
        <v>-1.4912503886183726</v>
      </c>
      <c r="N505" s="304">
        <f t="shared" ca="1" si="220"/>
        <v>-85.442353465076607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4.0843000000000034</v>
      </c>
      <c r="T505" s="304">
        <f t="shared" ca="1" si="204"/>
        <v>40.066983000000036</v>
      </c>
      <c r="U505" s="311">
        <f t="shared" ca="1" si="205"/>
        <v>0</v>
      </c>
      <c r="V505" s="306">
        <f t="shared" ca="1" si="206"/>
        <v>1.1792849060673698</v>
      </c>
      <c r="W505" s="304">
        <f t="shared" ca="1" si="207"/>
        <v>29.325493077008467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 t="e">
        <f t="shared" ca="1" si="208"/>
        <v>#N/A</v>
      </c>
      <c r="AG505" s="306">
        <f t="shared" ca="1" si="230"/>
        <v>2.6367344234156223</v>
      </c>
      <c r="AH505" s="304">
        <f t="shared" ca="1" si="231"/>
        <v>-7.1417743229009973</v>
      </c>
    </row>
    <row r="506" spans="1:34" x14ac:dyDescent="0.2">
      <c r="A506" s="347">
        <f t="shared" ca="1" si="209"/>
        <v>0.1</v>
      </c>
      <c r="B506" s="304">
        <f t="shared" ca="1" si="210"/>
        <v>38.800000000000253</v>
      </c>
      <c r="D506" s="306">
        <f t="shared" ca="1" si="211"/>
        <v>-0.57054196898143339</v>
      </c>
      <c r="E506" s="307">
        <f t="shared" ca="1" si="212"/>
        <v>-2.652650482344848</v>
      </c>
      <c r="F506" s="304">
        <f t="shared" ca="1" si="213"/>
        <v>2.7133139736959242</v>
      </c>
      <c r="G506" s="306">
        <f t="shared" ca="1" si="214"/>
        <v>10.312119363323745</v>
      </c>
      <c r="H506" s="307">
        <f t="shared" ca="1" si="215"/>
        <v>-130.34473932815692</v>
      </c>
      <c r="I506" s="304">
        <f t="shared" ca="1" si="216"/>
        <v>130.75202054380887</v>
      </c>
      <c r="J506" s="306">
        <f t="shared" ca="1" si="217"/>
        <v>685.49307770805217</v>
      </c>
      <c r="K506" s="307">
        <f t="shared" ca="1" si="218"/>
        <v>367.2589617506178</v>
      </c>
      <c r="L506" s="304">
        <f t="shared" ca="1" si="203"/>
        <v>777.67596373541039</v>
      </c>
      <c r="M506" s="306">
        <f t="shared" ca="1" si="219"/>
        <v>-1.4918465729143633</v>
      </c>
      <c r="N506" s="304">
        <f t="shared" ca="1" si="220"/>
        <v>-85.476512309048843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4.0843000000000034</v>
      </c>
      <c r="T506" s="304">
        <f t="shared" ca="1" si="204"/>
        <v>40.066983000000036</v>
      </c>
      <c r="U506" s="311">
        <f t="shared" ca="1" si="205"/>
        <v>0</v>
      </c>
      <c r="V506" s="306">
        <f t="shared" ca="1" si="206"/>
        <v>1.1808220152265561</v>
      </c>
      <c r="W506" s="304">
        <f t="shared" ca="1" si="207"/>
        <v>29.480807199013267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 t="e">
        <f t="shared" ca="1" si="208"/>
        <v>#N/A</v>
      </c>
      <c r="AG506" s="306">
        <f t="shared" ca="1" si="230"/>
        <v>2.5989260596988304</v>
      </c>
      <c r="AH506" s="304">
        <f t="shared" ca="1" si="231"/>
        <v>-7.1800536388141039</v>
      </c>
    </row>
    <row r="507" spans="1:34" x14ac:dyDescent="0.2">
      <c r="A507" s="347">
        <f t="shared" ca="1" si="209"/>
        <v>0.1</v>
      </c>
      <c r="B507" s="304">
        <f t="shared" ca="1" si="210"/>
        <v>38.900000000000254</v>
      </c>
      <c r="D507" s="306">
        <f t="shared" ca="1" si="211"/>
        <v>-0.56927388148802638</v>
      </c>
      <c r="E507" s="307">
        <f t="shared" ca="1" si="212"/>
        <v>-2.6144029481667577</v>
      </c>
      <c r="F507" s="304">
        <f t="shared" ca="1" si="213"/>
        <v>2.6756635677019407</v>
      </c>
      <c r="G507" s="306">
        <f t="shared" ca="1" si="214"/>
        <v>10.255191975174943</v>
      </c>
      <c r="H507" s="307">
        <f t="shared" ca="1" si="215"/>
        <v>-130.6061796229736</v>
      </c>
      <c r="I507" s="304">
        <f t="shared" ca="1" si="216"/>
        <v>131.00817958492567</v>
      </c>
      <c r="J507" s="306">
        <f t="shared" ca="1" si="217"/>
        <v>686.52144327497706</v>
      </c>
      <c r="K507" s="307">
        <f t="shared" ca="1" si="218"/>
        <v>354.2114158030613</v>
      </c>
      <c r="L507" s="304">
        <f t="shared" ca="1" si="203"/>
        <v>772.51370160118631</v>
      </c>
      <c r="M507" s="306">
        <f t="shared" ca="1" si="219"/>
        <v>-1.4924371412300994</v>
      </c>
      <c r="N507" s="304">
        <f t="shared" ca="1" si="220"/>
        <v>-85.510349381054681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4.0843000000000034</v>
      </c>
      <c r="T507" s="304">
        <f t="shared" ca="1" si="204"/>
        <v>40.066983000000036</v>
      </c>
      <c r="U507" s="311">
        <f t="shared" ca="1" si="205"/>
        <v>0</v>
      </c>
      <c r="V507" s="306">
        <f t="shared" ca="1" si="206"/>
        <v>1.1823642058152291</v>
      </c>
      <c r="W507" s="304">
        <f t="shared" ca="1" si="207"/>
        <v>29.635087163431706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 t="e">
        <f t="shared" ca="1" si="208"/>
        <v>#N/A</v>
      </c>
      <c r="AG507" s="306">
        <f t="shared" ca="1" si="230"/>
        <v>2.5613619519479895</v>
      </c>
      <c r="AH507" s="304">
        <f t="shared" ca="1" si="231"/>
        <v>-7.2180807479894336</v>
      </c>
    </row>
    <row r="508" spans="1:34" x14ac:dyDescent="0.2">
      <c r="A508" s="347">
        <f t="shared" ca="1" si="209"/>
        <v>0.1</v>
      </c>
      <c r="B508" s="304">
        <f t="shared" ca="1" si="210"/>
        <v>39.000000000000256</v>
      </c>
      <c r="D508" s="306">
        <f t="shared" ca="1" si="211"/>
        <v>-0.56798119519514567</v>
      </c>
      <c r="E508" s="307">
        <f t="shared" ca="1" si="212"/>
        <v>-2.5764100114651498</v>
      </c>
      <c r="F508" s="304">
        <f t="shared" ca="1" si="213"/>
        <v>2.6382742816608662</v>
      </c>
      <c r="G508" s="306">
        <f t="shared" ca="1" si="214"/>
        <v>10.198393855655429</v>
      </c>
      <c r="H508" s="307">
        <f t="shared" ca="1" si="215"/>
        <v>-130.86382062412011</v>
      </c>
      <c r="I508" s="304">
        <f t="shared" ca="1" si="216"/>
        <v>131.26060637364492</v>
      </c>
      <c r="J508" s="306">
        <f t="shared" ca="1" si="217"/>
        <v>687.54412256651858</v>
      </c>
      <c r="K508" s="307">
        <f t="shared" ca="1" si="218"/>
        <v>341.13791579070664</v>
      </c>
      <c r="L508" s="304">
        <f t="shared" ca="1" si="203"/>
        <v>767.5232882888904</v>
      </c>
      <c r="M508" s="306">
        <f t="shared" ca="1" si="219"/>
        <v>-1.4930221737513629</v>
      </c>
      <c r="N508" s="304">
        <f t="shared" ca="1" si="220"/>
        <v>-85.543869275400979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4.0843000000000034</v>
      </c>
      <c r="T508" s="304">
        <f t="shared" ca="1" si="204"/>
        <v>40.066983000000036</v>
      </c>
      <c r="U508" s="311">
        <f t="shared" ca="1" si="205"/>
        <v>0</v>
      </c>
      <c r="V508" s="306">
        <f t="shared" ca="1" si="206"/>
        <v>1.1839114484574429</v>
      </c>
      <c r="W508" s="304">
        <f t="shared" ca="1" si="207"/>
        <v>29.788329145603686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>
        <f t="shared" ca="1" si="228"/>
        <v>39.000000000000256</v>
      </c>
      <c r="AD508" s="323">
        <f t="shared" ca="1" si="229"/>
        <v>687.54412256651858</v>
      </c>
      <c r="AE508" s="324" t="e">
        <f t="shared" ca="1" si="208"/>
        <v>#N/A</v>
      </c>
      <c r="AG508" s="306">
        <f t="shared" ca="1" si="230"/>
        <v>2.5240432589208952</v>
      </c>
      <c r="AH508" s="304">
        <f t="shared" ca="1" si="231"/>
        <v>-7.2558546540243567</v>
      </c>
    </row>
    <row r="509" spans="1:34" x14ac:dyDescent="0.2">
      <c r="A509" s="347">
        <f t="shared" ca="1" si="209"/>
        <v>0.1</v>
      </c>
      <c r="B509" s="304">
        <f t="shared" ca="1" si="210"/>
        <v>39.100000000000257</v>
      </c>
      <c r="D509" s="306">
        <f t="shared" ca="1" si="211"/>
        <v>-0.5666643399862048</v>
      </c>
      <c r="E509" s="307">
        <f t="shared" ca="1" si="212"/>
        <v>-2.5386726133921869</v>
      </c>
      <c r="F509" s="304">
        <f t="shared" ca="1" si="213"/>
        <v>2.6011472684566548</v>
      </c>
      <c r="G509" s="306">
        <f t="shared" ca="1" si="214"/>
        <v>10.141727421656809</v>
      </c>
      <c r="H509" s="307">
        <f t="shared" ca="1" si="215"/>
        <v>-131.11768788545933</v>
      </c>
      <c r="I509" s="304">
        <f t="shared" ca="1" si="216"/>
        <v>131.50932556866042</v>
      </c>
      <c r="J509" s="306">
        <f t="shared" ca="1" si="217"/>
        <v>688.56112863038425</v>
      </c>
      <c r="K509" s="307">
        <f t="shared" ca="1" si="218"/>
        <v>328.03884036522766</v>
      </c>
      <c r="L509" s="304">
        <f t="shared" ca="1" si="203"/>
        <v>762.70958342537688</v>
      </c>
      <c r="M509" s="306">
        <f t="shared" ca="1" si="219"/>
        <v>-1.4936017490332234</v>
      </c>
      <c r="N509" s="304">
        <f t="shared" ca="1" si="220"/>
        <v>-85.57707649296168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4.0843000000000034</v>
      </c>
      <c r="T509" s="304">
        <f t="shared" ca="1" si="204"/>
        <v>40.066983000000036</v>
      </c>
      <c r="U509" s="311">
        <f t="shared" ca="1" si="205"/>
        <v>0</v>
      </c>
      <c r="V509" s="306">
        <f t="shared" ca="1" si="206"/>
        <v>1.1854637139270456</v>
      </c>
      <c r="W509" s="304">
        <f t="shared" ca="1" si="207"/>
        <v>29.940529562614042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 t="e">
        <f t="shared" ca="1" si="208"/>
        <v>#N/A</v>
      </c>
      <c r="AG509" s="306">
        <f t="shared" ca="1" si="230"/>
        <v>2.4869710753121383</v>
      </c>
      <c r="AH509" s="304">
        <f t="shared" ca="1" si="231"/>
        <v>-7.2933744204891076</v>
      </c>
    </row>
    <row r="510" spans="1:34" x14ac:dyDescent="0.2">
      <c r="A510" s="347">
        <f t="shared" ca="1" si="209"/>
        <v>0.1</v>
      </c>
      <c r="B510" s="304">
        <f t="shared" ca="1" si="210"/>
        <v>39.200000000000259</v>
      </c>
      <c r="D510" s="306">
        <f t="shared" ca="1" si="211"/>
        <v>-0.56532374391421281</v>
      </c>
      <c r="E510" s="307">
        <f t="shared" ca="1" si="212"/>
        <v>-2.5011916356085839</v>
      </c>
      <c r="F510" s="304">
        <f t="shared" ca="1" si="213"/>
        <v>2.5642836296852041</v>
      </c>
      <c r="G510" s="306">
        <f t="shared" ca="1" si="214"/>
        <v>10.085195047265387</v>
      </c>
      <c r="H510" s="307">
        <f t="shared" ca="1" si="215"/>
        <v>-131.3678070490202</v>
      </c>
      <c r="I510" s="304">
        <f t="shared" ca="1" si="216"/>
        <v>131.75436193162633</v>
      </c>
      <c r="J510" s="306">
        <f t="shared" ca="1" si="217"/>
        <v>689.57247475383031</v>
      </c>
      <c r="K510" s="307">
        <f t="shared" ca="1" si="218"/>
        <v>314.91456561850367</v>
      </c>
      <c r="L510" s="304">
        <f t="shared" ca="1" si="203"/>
        <v>758.07742452655373</v>
      </c>
      <c r="M510" s="306">
        <f t="shared" ca="1" si="219"/>
        <v>-1.494175944041231</v>
      </c>
      <c r="N510" s="304">
        <f t="shared" ca="1" si="220"/>
        <v>-85.609975443538005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4.0843000000000034</v>
      </c>
      <c r="T510" s="304">
        <f t="shared" ca="1" si="204"/>
        <v>40.066983000000036</v>
      </c>
      <c r="U510" s="311">
        <f t="shared" ca="1" si="205"/>
        <v>0</v>
      </c>
      <c r="V510" s="306">
        <f t="shared" ca="1" si="206"/>
        <v>1.1870209731489048</v>
      </c>
      <c r="W510" s="304">
        <f t="shared" ca="1" si="207"/>
        <v>30.09168507006833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 t="e">
        <f t="shared" ca="1" si="208"/>
        <v>#N/A</v>
      </c>
      <c r="AG510" s="306">
        <f t="shared" ca="1" si="230"/>
        <v>2.4501464326607856</v>
      </c>
      <c r="AH510" s="304">
        <f t="shared" ca="1" si="231"/>
        <v>-7.3306391701427458</v>
      </c>
    </row>
    <row r="511" spans="1:34" x14ac:dyDescent="0.2">
      <c r="A511" s="347">
        <f t="shared" ca="1" si="209"/>
        <v>0.1</v>
      </c>
      <c r="B511" s="304">
        <f t="shared" ca="1" si="210"/>
        <v>39.30000000000026</v>
      </c>
      <c r="D511" s="306">
        <f t="shared" ca="1" si="211"/>
        <v>-0.56395983312310305</v>
      </c>
      <c r="E511" s="307">
        <f t="shared" ca="1" si="212"/>
        <v>-2.4639679010767468</v>
      </c>
      <c r="F511" s="304">
        <f t="shared" ca="1" si="213"/>
        <v>2.5276844167958918</v>
      </c>
      <c r="G511" s="306">
        <f t="shared" ca="1" si="214"/>
        <v>10.028799063953077</v>
      </c>
      <c r="H511" s="307">
        <f t="shared" ca="1" si="215"/>
        <v>-131.61420383912787</v>
      </c>
      <c r="I511" s="304">
        <f t="shared" ca="1" si="216"/>
        <v>131.99574032093855</v>
      </c>
      <c r="J511" s="306">
        <f t="shared" ca="1" si="217"/>
        <v>690.57817445939122</v>
      </c>
      <c r="K511" s="307">
        <f t="shared" ca="1" si="218"/>
        <v>301.76546507409626</v>
      </c>
      <c r="L511" s="304">
        <f t="shared" ca="1" si="203"/>
        <v>753.63161488292872</v>
      </c>
      <c r="M511" s="306">
        <f t="shared" ca="1" si="219"/>
        <v>-1.4947448341913814</v>
      </c>
      <c r="N511" s="304">
        <f t="shared" ca="1" si="220"/>
        <v>-85.642570448148177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4.0843000000000034</v>
      </c>
      <c r="T511" s="304">
        <f t="shared" ca="1" si="204"/>
        <v>40.066983000000036</v>
      </c>
      <c r="U511" s="311">
        <f t="shared" ca="1" si="205"/>
        <v>0</v>
      </c>
      <c r="V511" s="306">
        <f t="shared" ca="1" si="206"/>
        <v>1.1885831972000946</v>
      </c>
      <c r="W511" s="304">
        <f t="shared" ca="1" si="207"/>
        <v>30.24179255884853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 t="e">
        <f t="shared" ca="1" si="208"/>
        <v>#N/A</v>
      </c>
      <c r="AG511" s="306">
        <f t="shared" ca="1" si="230"/>
        <v>2.4135703002590851</v>
      </c>
      <c r="AH511" s="304">
        <f t="shared" ca="1" si="231"/>
        <v>-7.3676480841437471</v>
      </c>
    </row>
    <row r="512" spans="1:34" x14ac:dyDescent="0.2">
      <c r="A512" s="347">
        <f t="shared" ca="1" si="209"/>
        <v>0.1</v>
      </c>
      <c r="B512" s="304">
        <f t="shared" ca="1" si="210"/>
        <v>39.400000000000261</v>
      </c>
      <c r="D512" s="306">
        <f t="shared" ca="1" si="211"/>
        <v>-0.56257303177129259</v>
      </c>
      <c r="E512" s="307">
        <f t="shared" ca="1" si="212"/>
        <v>-2.4270021748588686</v>
      </c>
      <c r="F512" s="304">
        <f t="shared" ca="1" si="213"/>
        <v>2.4913506322567329</v>
      </c>
      <c r="G512" s="306">
        <f t="shared" ca="1" si="214"/>
        <v>9.9725417607759468</v>
      </c>
      <c r="H512" s="307">
        <f t="shared" ca="1" si="215"/>
        <v>-131.85690405661376</v>
      </c>
      <c r="I512" s="304">
        <f t="shared" ca="1" si="216"/>
        <v>132.23348568560638</v>
      </c>
      <c r="J512" s="306">
        <f t="shared" ca="1" si="217"/>
        <v>691.57824150062766</v>
      </c>
      <c r="K512" s="307">
        <f t="shared" ca="1" si="218"/>
        <v>288.5919096793092</v>
      </c>
      <c r="L512" s="304">
        <f t="shared" ca="1" si="203"/>
        <v>749.37691080620505</v>
      </c>
      <c r="M512" s="306">
        <f t="shared" ca="1" si="219"/>
        <v>-1.4953084933888965</v>
      </c>
      <c r="N512" s="304">
        <f t="shared" ca="1" si="220"/>
        <v>-85.674865741249533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4.0843000000000034</v>
      </c>
      <c r="T512" s="304">
        <f t="shared" ca="1" si="204"/>
        <v>40.066983000000036</v>
      </c>
      <c r="U512" s="311">
        <f t="shared" ca="1" si="205"/>
        <v>0</v>
      </c>
      <c r="V512" s="306">
        <f t="shared" ca="1" si="206"/>
        <v>1.1901503573110472</v>
      </c>
      <c r="W512" s="304">
        <f t="shared" ca="1" si="207"/>
        <v>30.39084915185046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 t="e">
        <f t="shared" ca="1" si="208"/>
        <v>#N/A</v>
      </c>
      <c r="AG512" s="306">
        <f t="shared" ca="1" si="230"/>
        <v>2.3772435860619412</v>
      </c>
      <c r="AH512" s="304">
        <f t="shared" ca="1" si="231"/>
        <v>-7.4044004012556632</v>
      </c>
    </row>
    <row r="513" spans="1:34" x14ac:dyDescent="0.2">
      <c r="A513" s="347">
        <f t="shared" ca="1" si="209"/>
        <v>0.1</v>
      </c>
      <c r="B513" s="304">
        <f t="shared" ca="1" si="210"/>
        <v>39.500000000000263</v>
      </c>
      <c r="D513" s="306">
        <f t="shared" ca="1" si="211"/>
        <v>-0.56116376195744433</v>
      </c>
      <c r="E513" s="307">
        <f t="shared" ca="1" si="212"/>
        <v>-2.3902951649195376</v>
      </c>
      <c r="F513" s="304">
        <f t="shared" ca="1" si="213"/>
        <v>2.4552832307438486</v>
      </c>
      <c r="G513" s="306">
        <f t="shared" ca="1" si="214"/>
        <v>9.9164253845802026</v>
      </c>
      <c r="H513" s="307">
        <f t="shared" ca="1" si="215"/>
        <v>-132.09593357310573</v>
      </c>
      <c r="I513" s="304">
        <f t="shared" ca="1" si="216"/>
        <v>132.46762305921513</v>
      </c>
      <c r="J513" s="306">
        <f t="shared" ca="1" si="217"/>
        <v>692.57268985789551</v>
      </c>
      <c r="K513" s="307">
        <f t="shared" ca="1" si="218"/>
        <v>275.3942677978232</v>
      </c>
      <c r="L513" s="304">
        <f t="shared" ca="1" si="203"/>
        <v>745.31800828431608</v>
      </c>
      <c r="M513" s="306">
        <f t="shared" ca="1" si="219"/>
        <v>-1.4958669940658615</v>
      </c>
      <c r="N513" s="304">
        <f t="shared" ca="1" si="220"/>
        <v>-85.706865472894833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4.0843000000000034</v>
      </c>
      <c r="T513" s="304">
        <f t="shared" ca="1" si="204"/>
        <v>40.066983000000036</v>
      </c>
      <c r="U513" s="311">
        <f t="shared" ca="1" si="205"/>
        <v>0</v>
      </c>
      <c r="V513" s="306">
        <f t="shared" ca="1" si="206"/>
        <v>1.1917224248666634</v>
      </c>
      <c r="W513" s="304">
        <f t="shared" ca="1" si="207"/>
        <v>30.538852200704525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 t="e">
        <f t="shared" ca="1" si="208"/>
        <v>#N/A</v>
      </c>
      <c r="AG513" s="306">
        <f t="shared" ca="1" si="230"/>
        <v>2.3411671375968766</v>
      </c>
      <c r="AH513" s="304">
        <f t="shared" ca="1" si="231"/>
        <v>-7.4408954170483153</v>
      </c>
    </row>
    <row r="514" spans="1:34" x14ac:dyDescent="0.2">
      <c r="A514" s="347">
        <f t="shared" ca="1" si="209"/>
        <v>0.1</v>
      </c>
      <c r="B514" s="304">
        <f t="shared" ca="1" si="210"/>
        <v>39.600000000000264</v>
      </c>
      <c r="D514" s="306">
        <f t="shared" ca="1" si="211"/>
        <v>-0.55973244364841335</v>
      </c>
      <c r="E514" s="307">
        <f t="shared" ca="1" si="212"/>
        <v>-2.3538475229324698</v>
      </c>
      <c r="F514" s="304">
        <f t="shared" ca="1" si="213"/>
        <v>2.4194831203560705</v>
      </c>
      <c r="G514" s="306">
        <f t="shared" ca="1" si="214"/>
        <v>9.8604521402153615</v>
      </c>
      <c r="H514" s="307">
        <f t="shared" ca="1" si="215"/>
        <v>-132.33131832539897</v>
      </c>
      <c r="I514" s="304">
        <f t="shared" ca="1" si="216"/>
        <v>132.6981775539798</v>
      </c>
      <c r="J514" s="306">
        <f t="shared" ca="1" si="217"/>
        <v>693.56153373413531</v>
      </c>
      <c r="K514" s="307">
        <f t="shared" ca="1" si="218"/>
        <v>262.17290520289799</v>
      </c>
      <c r="L514" s="304">
        <f t="shared" ca="1" si="203"/>
        <v>741.45952910335836</v>
      </c>
      <c r="M514" s="306">
        <f t="shared" ca="1" si="219"/>
        <v>-1.4964204072177563</v>
      </c>
      <c r="N514" s="304">
        <f t="shared" ca="1" si="220"/>
        <v>-85.73857371082542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4.0843000000000034</v>
      </c>
      <c r="T514" s="304">
        <f t="shared" ca="1" si="204"/>
        <v>40.066983000000036</v>
      </c>
      <c r="U514" s="311">
        <f t="shared" ca="1" si="205"/>
        <v>0</v>
      </c>
      <c r="V514" s="306">
        <f t="shared" ca="1" si="206"/>
        <v>1.1932993714073892</v>
      </c>
      <c r="W514" s="304">
        <f t="shared" ca="1" si="207"/>
        <v>30.685799282482325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 t="e">
        <f t="shared" ca="1" si="228"/>
        <v>#N/A</v>
      </c>
      <c r="AD514" s="323" t="e">
        <f t="shared" ca="1" si="229"/>
        <v>#N/A</v>
      </c>
      <c r="AE514" s="324" t="e">
        <f t="shared" ca="1" si="208"/>
        <v>#N/A</v>
      </c>
      <c r="AG514" s="306">
        <f t="shared" ca="1" si="230"/>
        <v>2.3053417428742389</v>
      </c>
      <c r="AH514" s="304">
        <f t="shared" ca="1" si="231"/>
        <v>-7.4771324830949002</v>
      </c>
    </row>
    <row r="515" spans="1:34" x14ac:dyDescent="0.2">
      <c r="A515" s="347">
        <f t="shared" ca="1" si="209"/>
        <v>0.1</v>
      </c>
      <c r="B515" s="304">
        <f t="shared" ca="1" si="210"/>
        <v>39.700000000000266</v>
      </c>
      <c r="D515" s="306">
        <f t="shared" ca="1" si="211"/>
        <v>-0.55827949460937909</v>
      </c>
      <c r="E515" s="307">
        <f t="shared" ca="1" si="212"/>
        <v>-2.3176598450907289</v>
      </c>
      <c r="F515" s="304">
        <f t="shared" ca="1" si="213"/>
        <v>2.3839511638553517</v>
      </c>
      <c r="G515" s="306">
        <f t="shared" ca="1" si="214"/>
        <v>9.8046241907544243</v>
      </c>
      <c r="H515" s="307">
        <f t="shared" ca="1" si="215"/>
        <v>-132.56308430990805</v>
      </c>
      <c r="I515" s="304">
        <f t="shared" ca="1" si="216"/>
        <v>132.92517435488929</v>
      </c>
      <c r="J515" s="306">
        <f t="shared" ca="1" si="217"/>
        <v>694.54478755068385</v>
      </c>
      <c r="K515" s="307">
        <f t="shared" ca="1" si="218"/>
        <v>248.92818507113265</v>
      </c>
      <c r="L515" s="304">
        <f t="shared" ca="1" si="203"/>
        <v>737.80600650620397</v>
      </c>
      <c r="M515" s="306">
        <f t="shared" ca="1" si="219"/>
        <v>-1.4969688024389201</v>
      </c>
      <c r="N515" s="304">
        <f t="shared" ca="1" si="220"/>
        <v>-85.769994442503261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4.0843000000000034</v>
      </c>
      <c r="T515" s="304">
        <f t="shared" ca="1" si="204"/>
        <v>40.066983000000036</v>
      </c>
      <c r="U515" s="311">
        <f t="shared" ca="1" si="205"/>
        <v>0</v>
      </c>
      <c r="V515" s="306">
        <f t="shared" ca="1" si="206"/>
        <v>1.194881168630253</v>
      </c>
      <c r="W515" s="304">
        <f t="shared" ca="1" si="207"/>
        <v>30.831688196390004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 t="e">
        <f t="shared" ca="1" si="208"/>
        <v>#N/A</v>
      </c>
      <c r="AG515" s="306">
        <f t="shared" ca="1" si="230"/>
        <v>2.2697681312971687</v>
      </c>
      <c r="AH515" s="304">
        <f t="shared" ca="1" si="231"/>
        <v>-7.5131110061656345</v>
      </c>
    </row>
    <row r="516" spans="1:34" x14ac:dyDescent="0.2">
      <c r="A516" s="347">
        <f t="shared" ca="1" si="209"/>
        <v>0.1</v>
      </c>
      <c r="B516" s="304">
        <f t="shared" ca="1" si="210"/>
        <v>39.800000000000267</v>
      </c>
      <c r="D516" s="306">
        <f t="shared" ca="1" si="211"/>
        <v>-0.55680533033611301</v>
      </c>
      <c r="E516" s="307">
        <f t="shared" ca="1" si="212"/>
        <v>-2.2817326729202358</v>
      </c>
      <c r="F516" s="304">
        <f t="shared" ca="1" si="213"/>
        <v>2.3486881799341588</v>
      </c>
      <c r="G516" s="306">
        <f t="shared" ca="1" si="214"/>
        <v>9.7489436577208135</v>
      </c>
      <c r="H516" s="307">
        <f t="shared" ca="1" si="215"/>
        <v>-132.79125757720007</v>
      </c>
      <c r="I516" s="304">
        <f t="shared" ca="1" si="216"/>
        <v>133.14863871394147</v>
      </c>
      <c r="J516" s="306">
        <f t="shared" ca="1" si="217"/>
        <v>695.52246594310759</v>
      </c>
      <c r="K516" s="307">
        <f t="shared" ca="1" si="218"/>
        <v>235.66046797677723</v>
      </c>
      <c r="L516" s="304">
        <f t="shared" ref="L516:L579" ca="1" si="232">SQRT(pos_x^2+pos_z^2)</f>
        <v>734.36187046892269</v>
      </c>
      <c r="M516" s="306">
        <f t="shared" ca="1" si="219"/>
        <v>-1.4975122479569838</v>
      </c>
      <c r="N516" s="304">
        <f t="shared" ca="1" si="220"/>
        <v>-85.801131577083609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4.0843000000000034</v>
      </c>
      <c r="T516" s="304">
        <f t="shared" ref="T516:T579" ca="1" si="233">m*g</f>
        <v>40.066983000000036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1.1964677883898678</v>
      </c>
      <c r="W516" s="304">
        <f t="shared" ref="W516:W579" ca="1" si="236">1/2*Rho*Sref*Cx*vit_xz^2</f>
        <v>30.976516960450805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 t="e">
        <f t="shared" ref="AE516:AE579" ca="1" si="237">IF(t&lt;T_para, pos_z, NA())</f>
        <v>#N/A</v>
      </c>
      <c r="AG516" s="306">
        <f t="shared" ca="1" si="230"/>
        <v>2.2344469745712816</v>
      </c>
      <c r="AH516" s="304">
        <f t="shared" ca="1" si="231"/>
        <v>-7.5488304474181573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39.900000000000269</v>
      </c>
      <c r="D517" s="306">
        <f t="shared" ref="D517:D580" ca="1" si="240">IF(AND(L516&lt;L_rampe,Poussee&lt;Poids*SIN(M516)),0,(-W516+Poussee)/m*COS(M516)-U516/m*SIN(M516))</f>
        <v>-0.55531036398940159</v>
      </c>
      <c r="E517" s="307">
        <f t="shared" ref="E517:E580" ca="1" si="241">IF(AND(L516&lt;L_rampe,Poussee&lt;Poids*SIN(M516)),0,(-W516+Poussee)/m*SIN(M516)+U516/m*COS(M516)-Poids/m)</f>
        <v>-2.2460664940959338</v>
      </c>
      <c r="F517" s="304">
        <f t="shared" ref="F517:F580" ca="1" si="242">SQRT(acc_x^2+acc_z^2)</f>
        <v>2.3136949445107153</v>
      </c>
      <c r="G517" s="306">
        <f t="shared" ref="G517:G580" ca="1" si="243">G516+acc_x*pas</f>
        <v>9.6934126213218725</v>
      </c>
      <c r="H517" s="307">
        <f t="shared" ref="H517:H580" ca="1" si="244">H516+acc_z*pas</f>
        <v>-133.01586422660966</v>
      </c>
      <c r="I517" s="304">
        <f t="shared" ref="I517:I580" ca="1" si="245">SQRT(vit_x^2+vit_z^2)</f>
        <v>133.36859594446909</v>
      </c>
      <c r="J517" s="306">
        <f t="shared" ref="J517:J580" ca="1" si="246">J516+0.5*(vit_x+G516)*pas*(K516&gt;=0)</f>
        <v>696.49458375705967</v>
      </c>
      <c r="K517" s="307">
        <f t="shared" ref="K517:K580" ca="1" si="247">K516+0.5*(vit_z+H516)*pas</f>
        <v>222.37011188658673</v>
      </c>
      <c r="L517" s="304">
        <f t="shared" ca="1" si="232"/>
        <v>731.13143268729243</v>
      </c>
      <c r="M517" s="306">
        <f t="shared" ref="M517:M580" ca="1" si="248">IF(AND(L516&gt;L_rampe,G517&gt;0),ATAN2(G517,H517),$M$4)</f>
        <v>-1.4980508106663066</v>
      </c>
      <c r="N517" s="304">
        <f t="shared" ref="N517:N580" ca="1" si="249">DEGREES(Beta)</f>
        <v>-85.831988947330942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4.0843000000000034</v>
      </c>
      <c r="T517" s="304">
        <f t="shared" ca="1" si="233"/>
        <v>40.066983000000036</v>
      </c>
      <c r="U517" s="311">
        <f t="shared" ca="1" si="234"/>
        <v>0</v>
      </c>
      <c r="V517" s="306">
        <f t="shared" ca="1" si="235"/>
        <v>1.1980592026993957</v>
      </c>
      <c r="W517" s="304">
        <f t="shared" ca="1" si="236"/>
        <v>31.120283808178161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 t="e">
        <f t="shared" ca="1" si="237"/>
        <v>#N/A</v>
      </c>
      <c r="AG517" s="306">
        <f t="shared" ref="AG517:AG580" ca="1" si="259">IF(AND(L516&lt;L_rampe,Poussee&lt;Poids*SIN(M516)),0,(-W516+Poussee)/m-Poids*SIN(M516)/m)</f>
        <v>2.1993788876135794</v>
      </c>
      <c r="AH517" s="304">
        <f t="shared" ref="AH517:AH580" ca="1" si="260">IF(AND(L516&lt;L_rampe,Poussee&lt;Poids*SIN(M516)), g*SIN(M516), (-W516+Poussee)/m)</f>
        <v>-7.5842903215852848</v>
      </c>
    </row>
    <row r="518" spans="1:34" x14ac:dyDescent="0.2">
      <c r="A518" s="347">
        <f t="shared" ca="1" si="238"/>
        <v>0.1</v>
      </c>
      <c r="B518" s="304">
        <f t="shared" ca="1" si="239"/>
        <v>40.00000000000027</v>
      </c>
      <c r="D518" s="306">
        <f t="shared" ca="1" si="240"/>
        <v>-0.55379500633157042</v>
      </c>
      <c r="E518" s="307">
        <f t="shared" ca="1" si="241"/>
        <v>-2.2106617432603084</v>
      </c>
      <c r="F518" s="304">
        <f t="shared" ca="1" si="242"/>
        <v>2.2789721920533585</v>
      </c>
      <c r="G518" s="306">
        <f t="shared" ca="1" si="243"/>
        <v>9.638033120688716</v>
      </c>
      <c r="H518" s="307">
        <f t="shared" ca="1" si="244"/>
        <v>-133.23693040093571</v>
      </c>
      <c r="I518" s="304">
        <f t="shared" ca="1" si="245"/>
        <v>133.58507141555631</v>
      </c>
      <c r="J518" s="306">
        <f t="shared" ca="1" si="246"/>
        <v>697.46115604416025</v>
      </c>
      <c r="K518" s="307">
        <f t="shared" ca="1" si="247"/>
        <v>209.05747215520947</v>
      </c>
      <c r="L518" s="304">
        <f t="shared" ca="1" si="232"/>
        <v>728.11887137635881</v>
      </c>
      <c r="M518" s="306">
        <f t="shared" ca="1" si="248"/>
        <v>-1.4985845561604483</v>
      </c>
      <c r="N518" s="304">
        <f t="shared" ca="1" si="249"/>
        <v>-85.862570311479374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4.0843000000000034</v>
      </c>
      <c r="T518" s="304">
        <f t="shared" ca="1" si="233"/>
        <v>40.066983000000036</v>
      </c>
      <c r="U518" s="311">
        <f t="shared" ca="1" si="234"/>
        <v>0</v>
      </c>
      <c r="V518" s="306">
        <f t="shared" ca="1" si="235"/>
        <v>1.1996553837314787</v>
      </c>
      <c r="W518" s="304">
        <f t="shared" ca="1" si="236"/>
        <v>31.262987185241183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>
        <f t="shared" ca="1" si="257"/>
        <v>40.00000000000027</v>
      </c>
      <c r="AD518" s="323">
        <f t="shared" ca="1" si="258"/>
        <v>697.46115604416025</v>
      </c>
      <c r="AE518" s="324" t="e">
        <f t="shared" ca="1" si="237"/>
        <v>#N/A</v>
      </c>
      <c r="AG518" s="306">
        <f t="shared" ca="1" si="259"/>
        <v>2.1645644294603965</v>
      </c>
      <c r="AH518" s="304">
        <f t="shared" ca="1" si="260"/>
        <v>-7.6194901961604522</v>
      </c>
    </row>
    <row r="519" spans="1:34" x14ac:dyDescent="0.2">
      <c r="A519" s="347">
        <f t="shared" ca="1" si="238"/>
        <v>0.1</v>
      </c>
      <c r="B519" s="304">
        <f t="shared" ca="1" si="239"/>
        <v>40.100000000000271</v>
      </c>
      <c r="D519" s="306">
        <f t="shared" ca="1" si="240"/>
        <v>-0.5522596656651142</v>
      </c>
      <c r="E519" s="307">
        <f t="shared" ca="1" si="241"/>
        <v>-2.1755188028437846</v>
      </c>
      <c r="F519" s="304">
        <f t="shared" ca="1" si="242"/>
        <v>2.2445206169352505</v>
      </c>
      <c r="G519" s="306">
        <f t="shared" ca="1" si="243"/>
        <v>9.5828071541222037</v>
      </c>
      <c r="H519" s="307">
        <f t="shared" ca="1" si="244"/>
        <v>-133.45448228122009</v>
      </c>
      <c r="I519" s="304">
        <f t="shared" ca="1" si="245"/>
        <v>133.7980905465455</v>
      </c>
      <c r="J519" s="306">
        <f t="shared" ca="1" si="246"/>
        <v>698.4221980579008</v>
      </c>
      <c r="K519" s="307">
        <f t="shared" ca="1" si="247"/>
        <v>195.72290152110168</v>
      </c>
      <c r="L519" s="304">
        <f t="shared" ca="1" si="232"/>
        <v>725.3282159959507</v>
      </c>
      <c r="M519" s="306">
        <f t="shared" ca="1" si="248"/>
        <v>-1.4991135487637111</v>
      </c>
      <c r="N519" s="304">
        <f t="shared" ca="1" si="249"/>
        <v>-85.89287935503998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4.0843000000000034</v>
      </c>
      <c r="T519" s="304">
        <f t="shared" ca="1" si="233"/>
        <v>40.066983000000036</v>
      </c>
      <c r="U519" s="311">
        <f t="shared" ca="1" si="234"/>
        <v>0</v>
      </c>
      <c r="V519" s="306">
        <f t="shared" ca="1" si="235"/>
        <v>1.2012563038191328</v>
      </c>
      <c r="W519" s="304">
        <f t="shared" ca="1" si="236"/>
        <v>31.404625746123987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 t="e">
        <f t="shared" ca="1" si="237"/>
        <v>#N/A</v>
      </c>
      <c r="AG519" s="306">
        <f t="shared" ca="1" si="259"/>
        <v>2.1300041041740858</v>
      </c>
      <c r="AH519" s="304">
        <f t="shared" ca="1" si="260"/>
        <v>-7.6544296905812885</v>
      </c>
    </row>
    <row r="520" spans="1:34" x14ac:dyDescent="0.2">
      <c r="A520" s="347">
        <f t="shared" ca="1" si="238"/>
        <v>0.1</v>
      </c>
      <c r="B520" s="304">
        <f t="shared" ca="1" si="239"/>
        <v>40.200000000000273</v>
      </c>
      <c r="D520" s="306">
        <f t="shared" ca="1" si="240"/>
        <v>-0.55070474777339151</v>
      </c>
      <c r="E520" s="307">
        <f t="shared" ca="1" si="241"/>
        <v>-2.1406380038866528</v>
      </c>
      <c r="F520" s="304">
        <f t="shared" ca="1" si="242"/>
        <v>2.2103408748208926</v>
      </c>
      <c r="G520" s="306">
        <f t="shared" ca="1" si="243"/>
        <v>9.5277366793448639</v>
      </c>
      <c r="H520" s="307">
        <f t="shared" ca="1" si="244"/>
        <v>-133.66854608160875</v>
      </c>
      <c r="I520" s="304">
        <f t="shared" ca="1" si="245"/>
        <v>134.00767880163471</v>
      </c>
      <c r="J520" s="306">
        <f t="shared" ca="1" si="246"/>
        <v>699.37772524957415</v>
      </c>
      <c r="K520" s="307">
        <f t="shared" ca="1" si="247"/>
        <v>182.36675010296022</v>
      </c>
      <c r="L520" s="304">
        <f t="shared" ca="1" si="232"/>
        <v>722.76333202396506</v>
      </c>
      <c r="M520" s="306">
        <f t="shared" ca="1" si="248"/>
        <v>-1.4996378515617801</v>
      </c>
      <c r="N520" s="304">
        <f t="shared" ca="1" si="249"/>
        <v>-85.922919692556235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4.0843000000000034</v>
      </c>
      <c r="T520" s="304">
        <f t="shared" ca="1" si="233"/>
        <v>40.066983000000036</v>
      </c>
      <c r="U520" s="311">
        <f t="shared" ca="1" si="234"/>
        <v>0</v>
      </c>
      <c r="V520" s="306">
        <f t="shared" ca="1" si="235"/>
        <v>1.202861935456605</v>
      </c>
      <c r="W520" s="304">
        <f t="shared" ca="1" si="236"/>
        <v>31.545198350780719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 t="e">
        <f t="shared" ca="1" si="237"/>
        <v>#N/A</v>
      </c>
      <c r="AG520" s="306">
        <f t="shared" ca="1" si="259"/>
        <v>2.0956983617481493</v>
      </c>
      <c r="AH520" s="304">
        <f t="shared" ca="1" si="260"/>
        <v>-7.6891084754116887</v>
      </c>
    </row>
    <row r="521" spans="1:34" x14ac:dyDescent="0.2">
      <c r="A521" s="347">
        <f t="shared" ca="1" si="238"/>
        <v>0.1</v>
      </c>
      <c r="B521" s="304">
        <f t="shared" ca="1" si="239"/>
        <v>40.300000000000274</v>
      </c>
      <c r="D521" s="306">
        <f t="shared" ca="1" si="240"/>
        <v>-0.54913065586338738</v>
      </c>
      <c r="E521" s="307">
        <f t="shared" ca="1" si="241"/>
        <v>-2.1060196268620732</v>
      </c>
      <c r="F521" s="304">
        <f t="shared" ca="1" si="242"/>
        <v>2.1764335840859514</v>
      </c>
      <c r="G521" s="306">
        <f t="shared" ca="1" si="243"/>
        <v>9.4728236137585249</v>
      </c>
      <c r="H521" s="307">
        <f t="shared" ca="1" si="244"/>
        <v>-133.87914804429496</v>
      </c>
      <c r="I521" s="304">
        <f t="shared" ca="1" si="245"/>
        <v>134.2138616845653</v>
      </c>
      <c r="J521" s="306">
        <f t="shared" ca="1" si="246"/>
        <v>700.32775326422927</v>
      </c>
      <c r="K521" s="307">
        <f t="shared" ca="1" si="247"/>
        <v>168.98936539666505</v>
      </c>
      <c r="L521" s="304">
        <f t="shared" ca="1" si="232"/>
        <v>720.42790590682341</v>
      </c>
      <c r="M521" s="306">
        <f t="shared" ca="1" si="248"/>
        <v>-1.5001575264314952</v>
      </c>
      <c r="N521" s="304">
        <f t="shared" ca="1" si="249"/>
        <v>-85.952694869309923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4.0843000000000034</v>
      </c>
      <c r="T521" s="304">
        <f t="shared" ca="1" si="233"/>
        <v>40.066983000000036</v>
      </c>
      <c r="U521" s="311">
        <f t="shared" ca="1" si="234"/>
        <v>0</v>
      </c>
      <c r="V521" s="306">
        <f t="shared" ca="1" si="235"/>
        <v>1.2044722513001989</v>
      </c>
      <c r="W521" s="304">
        <f t="shared" ca="1" si="236"/>
        <v>31.684704061287658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 t="e">
        <f t="shared" ca="1" si="237"/>
        <v>#N/A</v>
      </c>
      <c r="AG521" s="306">
        <f t="shared" ca="1" si="259"/>
        <v>2.0616475990105227</v>
      </c>
      <c r="AH521" s="304">
        <f t="shared" ca="1" si="260"/>
        <v>-7.7235262715228297</v>
      </c>
    </row>
    <row r="522" spans="1:34" x14ac:dyDescent="0.2">
      <c r="A522" s="347">
        <f t="shared" ca="1" si="238"/>
        <v>0.1</v>
      </c>
      <c r="B522" s="304">
        <f t="shared" ca="1" si="239"/>
        <v>40.400000000000276</v>
      </c>
      <c r="D522" s="306">
        <f t="shared" ca="1" si="240"/>
        <v>-0.54753779051048812</v>
      </c>
      <c r="E522" s="307">
        <f t="shared" ca="1" si="241"/>
        <v>-2.0716639024998003</v>
      </c>
      <c r="F522" s="304">
        <f t="shared" ca="1" si="242"/>
        <v>2.1427993272721104</v>
      </c>
      <c r="G522" s="306">
        <f t="shared" ca="1" si="243"/>
        <v>9.4180698347074756</v>
      </c>
      <c r="H522" s="307">
        <f t="shared" ca="1" si="244"/>
        <v>-134.08631443454493</v>
      </c>
      <c r="I522" s="304">
        <f t="shared" ca="1" si="245"/>
        <v>134.41666473339933</v>
      </c>
      <c r="J522" s="306">
        <f t="shared" ca="1" si="246"/>
        <v>701.27229793665254</v>
      </c>
      <c r="K522" s="307">
        <f t="shared" ca="1" si="247"/>
        <v>155.59109227272305</v>
      </c>
      <c r="L522" s="304">
        <f t="shared" ca="1" si="232"/>
        <v>718.32543032247725</v>
      </c>
      <c r="M522" s="306">
        <f t="shared" ca="1" si="248"/>
        <v>-1.5006726340697776</v>
      </c>
      <c r="N522" s="304">
        <f t="shared" ca="1" si="249"/>
        <v>-85.982208362978454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4.0843000000000034</v>
      </c>
      <c r="T522" s="304">
        <f t="shared" ca="1" si="233"/>
        <v>40.066983000000036</v>
      </c>
      <c r="U522" s="311">
        <f t="shared" ca="1" si="234"/>
        <v>0</v>
      </c>
      <c r="V522" s="306">
        <f t="shared" ca="1" si="235"/>
        <v>1.2060872241690637</v>
      </c>
      <c r="W522" s="304">
        <f t="shared" ca="1" si="236"/>
        <v>31.823142138494003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 t="e">
        <f t="shared" ca="1" si="237"/>
        <v>#N/A</v>
      </c>
      <c r="AG522" s="306">
        <f t="shared" ca="1" si="259"/>
        <v>2.0278521605247795</v>
      </c>
      <c r="AH522" s="304">
        <f t="shared" ca="1" si="260"/>
        <v>-7.7576828492734693</v>
      </c>
    </row>
    <row r="523" spans="1:34" x14ac:dyDescent="0.2">
      <c r="A523" s="347">
        <f t="shared" ca="1" si="238"/>
        <v>0.1</v>
      </c>
      <c r="B523" s="304">
        <f t="shared" ca="1" si="239"/>
        <v>40.500000000000277</v>
      </c>
      <c r="D523" s="306">
        <f t="shared" ca="1" si="240"/>
        <v>-0.54592654960529241</v>
      </c>
      <c r="E523" s="307">
        <f t="shared" ca="1" si="241"/>
        <v>-2.0375710126102442</v>
      </c>
      <c r="F523" s="304">
        <f t="shared" ca="1" si="242"/>
        <v>2.1094386525788029</v>
      </c>
      <c r="G523" s="306">
        <f t="shared" ca="1" si="243"/>
        <v>9.3634771797469458</v>
      </c>
      <c r="H523" s="307">
        <f t="shared" ca="1" si="244"/>
        <v>-134.29007153580596</v>
      </c>
      <c r="I523" s="304">
        <f t="shared" ca="1" si="245"/>
        <v>134.61611351538687</v>
      </c>
      <c r="J523" s="306">
        <f t="shared" ca="1" si="246"/>
        <v>702.21137528737529</v>
      </c>
      <c r="K523" s="307">
        <f t="shared" ca="1" si="247"/>
        <v>142.1722729742055</v>
      </c>
      <c r="L523" s="304">
        <f t="shared" ca="1" si="232"/>
        <v>716.45918989544623</v>
      </c>
      <c r="M523" s="306">
        <f t="shared" ca="1" si="248"/>
        <v>-1.5011832340217452</v>
      </c>
      <c r="N523" s="304">
        <f t="shared" ca="1" si="249"/>
        <v>-86.011463585245778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4.0843000000000034</v>
      </c>
      <c r="T523" s="304">
        <f t="shared" ca="1" si="233"/>
        <v>40.066983000000036</v>
      </c>
      <c r="U523" s="311">
        <f t="shared" ca="1" si="234"/>
        <v>0</v>
      </c>
      <c r="V523" s="306">
        <f t="shared" ca="1" si="235"/>
        <v>1.2077068270459506</v>
      </c>
      <c r="W523" s="304">
        <f t="shared" ca="1" si="236"/>
        <v>31.960512038672785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 t="e">
        <f t="shared" ca="1" si="237"/>
        <v>#N/A</v>
      </c>
      <c r="AG523" s="306">
        <f t="shared" ca="1" si="259"/>
        <v>1.9943123394889524</v>
      </c>
      <c r="AH523" s="304">
        <f t="shared" ca="1" si="260"/>
        <v>-7.7915780276899289</v>
      </c>
    </row>
    <row r="524" spans="1:34" x14ac:dyDescent="0.2">
      <c r="A524" s="347">
        <f t="shared" ca="1" si="238"/>
        <v>0.1</v>
      </c>
      <c r="B524" s="304">
        <f t="shared" ca="1" si="239"/>
        <v>40.600000000000279</v>
      </c>
      <c r="D524" s="306">
        <f t="shared" ca="1" si="240"/>
        <v>-0.54429732830237743</v>
      </c>
      <c r="E524" s="307">
        <f t="shared" ca="1" si="241"/>
        <v>-2.0037410909085231</v>
      </c>
      <c r="F524" s="304">
        <f t="shared" ca="1" si="242"/>
        <v>2.0763520753938587</v>
      </c>
      <c r="G524" s="306">
        <f t="shared" ca="1" si="243"/>
        <v>9.3090474469167077</v>
      </c>
      <c r="H524" s="307">
        <f t="shared" ca="1" si="244"/>
        <v>-134.49044564489682</v>
      </c>
      <c r="I524" s="304">
        <f t="shared" ca="1" si="245"/>
        <v>134.81223362192281</v>
      </c>
      <c r="J524" s="306">
        <f t="shared" ca="1" si="246"/>
        <v>703.14500151870845</v>
      </c>
      <c r="K524" s="307">
        <f t="shared" ca="1" si="247"/>
        <v>128.73324711517037</v>
      </c>
      <c r="L524" s="304">
        <f t="shared" ca="1" si="232"/>
        <v>714.83224750535703</v>
      </c>
      <c r="M524" s="306">
        <f t="shared" ca="1" si="248"/>
        <v>-1.5016893847080381</v>
      </c>
      <c r="N524" s="304">
        <f t="shared" ca="1" si="249"/>
        <v>-86.040463883368005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4.0843000000000034</v>
      </c>
      <c r="T524" s="304">
        <f t="shared" ca="1" si="233"/>
        <v>40.066983000000036</v>
      </c>
      <c r="U524" s="311">
        <f t="shared" ca="1" si="234"/>
        <v>0</v>
      </c>
      <c r="V524" s="306">
        <f t="shared" ca="1" si="235"/>
        <v>1.2093310330779325</v>
      </c>
      <c r="W524" s="304">
        <f t="shared" ca="1" si="236"/>
        <v>32.096813410173411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 t="e">
        <f t="shared" ca="1" si="257"/>
        <v>#N/A</v>
      </c>
      <c r="AD524" s="323" t="e">
        <f t="shared" ca="1" si="258"/>
        <v>#N/A</v>
      </c>
      <c r="AE524" s="324" t="e">
        <f t="shared" ca="1" si="237"/>
        <v>#N/A</v>
      </c>
      <c r="AG524" s="306">
        <f t="shared" ca="1" si="259"/>
        <v>1.9610283786317204</v>
      </c>
      <c r="AH524" s="304">
        <f t="shared" ca="1" si="260"/>
        <v>-7.8252116736460984</v>
      </c>
    </row>
    <row r="525" spans="1:34" x14ac:dyDescent="0.2">
      <c r="A525" s="347">
        <f t="shared" ca="1" si="238"/>
        <v>0.1</v>
      </c>
      <c r="B525" s="304">
        <f t="shared" ca="1" si="239"/>
        <v>40.70000000000028</v>
      </c>
      <c r="D525" s="306">
        <f t="shared" ca="1" si="240"/>
        <v>-0.54265051897105443</v>
      </c>
      <c r="E525" s="307">
        <f t="shared" ca="1" si="241"/>
        <v>-1.9701742238381055</v>
      </c>
      <c r="F525" s="304">
        <f t="shared" ca="1" si="242"/>
        <v>2.0435400798652412</v>
      </c>
      <c r="G525" s="306">
        <f t="shared" ca="1" si="243"/>
        <v>9.2547823950196015</v>
      </c>
      <c r="H525" s="307">
        <f t="shared" ca="1" si="244"/>
        <v>-134.68746306728065</v>
      </c>
      <c r="I525" s="304">
        <f t="shared" ca="1" si="245"/>
        <v>135.00505066359275</v>
      </c>
      <c r="J525" s="306">
        <f t="shared" ca="1" si="246"/>
        <v>704.07319301080531</v>
      </c>
      <c r="K525" s="307">
        <f t="shared" ca="1" si="247"/>
        <v>115.27435167956151</v>
      </c>
      <c r="L525" s="304">
        <f t="shared" ca="1" si="232"/>
        <v>713.44743133013935</v>
      </c>
      <c r="M525" s="306">
        <f t="shared" ca="1" si="248"/>
        <v>-1.5021911434513817</v>
      </c>
      <c r="N525" s="304">
        <f t="shared" ca="1" si="249"/>
        <v>-86.069212541695379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4.0843000000000034</v>
      </c>
      <c r="T525" s="304">
        <f t="shared" ca="1" si="233"/>
        <v>40.066983000000036</v>
      </c>
      <c r="U525" s="311">
        <f t="shared" ca="1" si="234"/>
        <v>0</v>
      </c>
      <c r="V525" s="306">
        <f t="shared" ca="1" si="235"/>
        <v>1.2109598155770946</v>
      </c>
      <c r="W525" s="304">
        <f t="shared" ca="1" si="236"/>
        <v>32.232046090077276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 t="e">
        <f t="shared" ca="1" si="237"/>
        <v>#N/A</v>
      </c>
      <c r="AG525" s="306">
        <f t="shared" ca="1" si="259"/>
        <v>1.9280004711057073</v>
      </c>
      <c r="AH525" s="304">
        <f t="shared" ca="1" si="260"/>
        <v>-7.8585837010438473</v>
      </c>
    </row>
    <row r="526" spans="1:34" x14ac:dyDescent="0.2">
      <c r="A526" s="347">
        <f t="shared" ca="1" si="238"/>
        <v>0.1</v>
      </c>
      <c r="B526" s="304">
        <f t="shared" ca="1" si="239"/>
        <v>40.800000000000281</v>
      </c>
      <c r="D526" s="306">
        <f t="shared" ca="1" si="240"/>
        <v>-0.54098651114805041</v>
      </c>
      <c r="E526" s="307">
        <f t="shared" ca="1" si="241"/>
        <v>-1.9368704513937258</v>
      </c>
      <c r="F526" s="304">
        <f t="shared" ca="1" si="242"/>
        <v>2.0110031205162948</v>
      </c>
      <c r="G526" s="306">
        <f t="shared" ca="1" si="243"/>
        <v>9.200683743904797</v>
      </c>
      <c r="H526" s="307">
        <f t="shared" ca="1" si="244"/>
        <v>-134.88115011242002</v>
      </c>
      <c r="I526" s="304">
        <f t="shared" ca="1" si="245"/>
        <v>135.19459026530808</v>
      </c>
      <c r="J526" s="306">
        <f t="shared" ca="1" si="246"/>
        <v>704.99596631775148</v>
      </c>
      <c r="K526" s="307">
        <f t="shared" ca="1" si="247"/>
        <v>101.79592102057647</v>
      </c>
      <c r="L526" s="304">
        <f t="shared" ca="1" si="232"/>
        <v>712.3073227622524</v>
      </c>
      <c r="M526" s="306">
        <f t="shared" ca="1" si="248"/>
        <v>-1.5026885665024132</v>
      </c>
      <c r="N526" s="304">
        <f t="shared" ca="1" si="249"/>
        <v>-86.097712783152005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4.0843000000000034</v>
      </c>
      <c r="T526" s="304">
        <f t="shared" ca="1" si="233"/>
        <v>40.066983000000036</v>
      </c>
      <c r="U526" s="311">
        <f t="shared" ca="1" si="234"/>
        <v>0</v>
      </c>
      <c r="V526" s="306">
        <f t="shared" ca="1" si="235"/>
        <v>1.2125931480211869</v>
      </c>
      <c r="W526" s="304">
        <f t="shared" ca="1" si="236"/>
        <v>32.366210100857792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 t="e">
        <f t="shared" ca="1" si="237"/>
        <v>#N/A</v>
      </c>
      <c r="AG526" s="306">
        <f t="shared" ca="1" si="259"/>
        <v>1.8952287613776191</v>
      </c>
      <c r="AH526" s="304">
        <f t="shared" ca="1" si="260"/>
        <v>-7.8916940699941849</v>
      </c>
    </row>
    <row r="527" spans="1:34" x14ac:dyDescent="0.2">
      <c r="A527" s="347">
        <f t="shared" ca="1" si="238"/>
        <v>0.1</v>
      </c>
      <c r="B527" s="304">
        <f t="shared" ca="1" si="239"/>
        <v>40.900000000000283</v>
      </c>
      <c r="D527" s="306">
        <f t="shared" ca="1" si="240"/>
        <v>-0.5393056914921035</v>
      </c>
      <c r="E527" s="307">
        <f t="shared" ca="1" si="241"/>
        <v>-1.9038297679432077</v>
      </c>
      <c r="F527" s="304">
        <f t="shared" ca="1" si="242"/>
        <v>1.978741623907089</v>
      </c>
      <c r="G527" s="306">
        <f t="shared" ca="1" si="243"/>
        <v>9.1467531747555864</v>
      </c>
      <c r="H527" s="307">
        <f t="shared" ca="1" si="244"/>
        <v>-135.07153308921434</v>
      </c>
      <c r="I527" s="304">
        <f t="shared" ca="1" si="245"/>
        <v>135.38087806152916</v>
      </c>
      <c r="J527" s="306">
        <f t="shared" ca="1" si="246"/>
        <v>705.91333816368456</v>
      </c>
      <c r="K527" s="307">
        <f t="shared" ca="1" si="247"/>
        <v>88.298286860494756</v>
      </c>
      <c r="L527" s="304">
        <f t="shared" ca="1" si="232"/>
        <v>711.41424533101292</v>
      </c>
      <c r="M527" s="306">
        <f t="shared" ca="1" si="248"/>
        <v>-1.5031817090647919</v>
      </c>
      <c r="N527" s="304">
        <f t="shared" ca="1" si="249"/>
        <v>-86.125967770674578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4.0843000000000034</v>
      </c>
      <c r="T527" s="304">
        <f t="shared" ca="1" si="233"/>
        <v>40.066983000000036</v>
      </c>
      <c r="U527" s="311">
        <f t="shared" ca="1" si="234"/>
        <v>0</v>
      </c>
      <c r="V527" s="306">
        <f t="shared" ca="1" si="235"/>
        <v>1.2142310040542503</v>
      </c>
      <c r="W527" s="304">
        <f t="shared" ca="1" si="236"/>
        <v>32.499305647046135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 t="e">
        <f t="shared" ca="1" si="237"/>
        <v>#N/A</v>
      </c>
      <c r="AG527" s="306">
        <f t="shared" ca="1" si="259"/>
        <v>1.8627133461149734</v>
      </c>
      <c r="AH527" s="304">
        <f t="shared" ca="1" si="260"/>
        <v>-7.9245427859995017</v>
      </c>
    </row>
    <row r="528" spans="1:34" x14ac:dyDescent="0.2">
      <c r="A528" s="347">
        <f t="shared" ca="1" si="238"/>
        <v>0.1</v>
      </c>
      <c r="B528" s="304">
        <f t="shared" ca="1" si="239"/>
        <v>41.000000000000284</v>
      </c>
      <c r="D528" s="306">
        <f t="shared" ca="1" si="240"/>
        <v>-0.53760844374046124</v>
      </c>
      <c r="E528" s="307">
        <f t="shared" ca="1" si="241"/>
        <v>-1.8710521230478978</v>
      </c>
      <c r="F528" s="304">
        <f t="shared" ca="1" si="242"/>
        <v>1.9467559903447289</v>
      </c>
      <c r="G528" s="306">
        <f t="shared" ca="1" si="243"/>
        <v>9.0929923303815396</v>
      </c>
      <c r="H528" s="307">
        <f t="shared" ca="1" si="244"/>
        <v>-135.25863830151914</v>
      </c>
      <c r="I528" s="304">
        <f t="shared" ca="1" si="245"/>
        <v>135.5639396915771</v>
      </c>
      <c r="J528" s="306">
        <f t="shared" ca="1" si="246"/>
        <v>706.82532543894138</v>
      </c>
      <c r="K528" s="307">
        <f t="shared" ca="1" si="247"/>
        <v>74.781778290958073</v>
      </c>
      <c r="L528" s="304">
        <f t="shared" ca="1" si="232"/>
        <v>710.77025475622111</v>
      </c>
      <c r="M528" s="306">
        <f t="shared" ca="1" si="248"/>
        <v>-1.5036706253196204</v>
      </c>
      <c r="N528" s="304">
        <f t="shared" ca="1" si="249"/>
        <v>-86.15398060861159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4.0843000000000034</v>
      </c>
      <c r="T528" s="304">
        <f t="shared" ca="1" si="233"/>
        <v>40.066983000000036</v>
      </c>
      <c r="U528" s="311">
        <f t="shared" ca="1" si="234"/>
        <v>0</v>
      </c>
      <c r="V528" s="306">
        <f t="shared" ca="1" si="235"/>
        <v>1.2158733574872043</v>
      </c>
      <c r="W528" s="304">
        <f t="shared" ca="1" si="236"/>
        <v>32.631333111904127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>
        <f t="shared" ca="1" si="257"/>
        <v>41.000000000000284</v>
      </c>
      <c r="AD528" s="323">
        <f t="shared" ca="1" si="258"/>
        <v>706.82532543894138</v>
      </c>
      <c r="AE528" s="324" t="e">
        <f t="shared" ca="1" si="237"/>
        <v>#N/A</v>
      </c>
      <c r="AG528" s="306">
        <f t="shared" ca="1" si="259"/>
        <v>1.8304542750692159</v>
      </c>
      <c r="AH528" s="304">
        <f t="shared" ca="1" si="260"/>
        <v>-7.9571298991372101</v>
      </c>
    </row>
    <row r="529" spans="1:34" x14ac:dyDescent="0.2">
      <c r="A529" s="347">
        <f t="shared" ca="1" si="238"/>
        <v>0.1</v>
      </c>
      <c r="B529" s="304">
        <f t="shared" ca="1" si="239"/>
        <v>41.100000000000286</v>
      </c>
      <c r="D529" s="306">
        <f t="shared" ca="1" si="240"/>
        <v>-0.5358951486672261</v>
      </c>
      <c r="E529" s="307">
        <f t="shared" ca="1" si="241"/>
        <v>-1.8385374222813491</v>
      </c>
      <c r="F529" s="304">
        <f t="shared" ca="1" si="242"/>
        <v>1.9150465956456559</v>
      </c>
      <c r="G529" s="306">
        <f t="shared" ca="1" si="243"/>
        <v>9.0394028155148174</v>
      </c>
      <c r="H529" s="307">
        <f t="shared" ca="1" si="244"/>
        <v>-135.44249204374728</v>
      </c>
      <c r="I529" s="304">
        <f t="shared" ca="1" si="245"/>
        <v>135.74380079503328</v>
      </c>
      <c r="J529" s="306">
        <f t="shared" ca="1" si="246"/>
        <v>707.73194519623621</v>
      </c>
      <c r="K529" s="307">
        <f t="shared" ca="1" si="247"/>
        <v>61.246721773694752</v>
      </c>
      <c r="L529" s="304">
        <f t="shared" ca="1" si="232"/>
        <v>710.37713024792163</v>
      </c>
      <c r="M529" s="306">
        <f t="shared" ca="1" si="248"/>
        <v>-1.5041553684491948</v>
      </c>
      <c r="N529" s="304">
        <f t="shared" ca="1" si="249"/>
        <v>-86.181754344084169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4.0843000000000034</v>
      </c>
      <c r="T529" s="304">
        <f t="shared" ca="1" si="233"/>
        <v>40.066983000000036</v>
      </c>
      <c r="U529" s="311">
        <f t="shared" ca="1" si="234"/>
        <v>0</v>
      </c>
      <c r="V529" s="306">
        <f t="shared" ca="1" si="235"/>
        <v>1.2175201822984068</v>
      </c>
      <c r="W529" s="304">
        <f t="shared" ca="1" si="236"/>
        <v>32.762293054105498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 t="e">
        <f t="shared" ca="1" si="237"/>
        <v>#N/A</v>
      </c>
      <c r="AG529" s="306">
        <f t="shared" ca="1" si="259"/>
        <v>1.7984515519549245</v>
      </c>
      <c r="AH529" s="304">
        <f t="shared" ca="1" si="260"/>
        <v>-7.989455503245134</v>
      </c>
    </row>
    <row r="530" spans="1:34" x14ac:dyDescent="0.2">
      <c r="A530" s="347">
        <f t="shared" ca="1" si="238"/>
        <v>0.1</v>
      </c>
      <c r="B530" s="304">
        <f t="shared" ca="1" si="239"/>
        <v>41.200000000000287</v>
      </c>
      <c r="D530" s="306">
        <f t="shared" ca="1" si="240"/>
        <v>-0.53416618404355631</v>
      </c>
      <c r="E530" s="307">
        <f t="shared" ca="1" si="241"/>
        <v>-1.8062855280459527</v>
      </c>
      <c r="F530" s="304">
        <f t="shared" ca="1" si="242"/>
        <v>1.8836137929532955</v>
      </c>
      <c r="G530" s="306">
        <f t="shared" ca="1" si="243"/>
        <v>8.9859861971104618</v>
      </c>
      <c r="H530" s="307">
        <f t="shared" ca="1" si="244"/>
        <v>-135.62312059655187</v>
      </c>
      <c r="I530" s="304">
        <f t="shared" ca="1" si="245"/>
        <v>135.92048700722609</v>
      </c>
      <c r="J530" s="306">
        <f t="shared" ca="1" si="246"/>
        <v>708.63321464686749</v>
      </c>
      <c r="K530" s="307">
        <f t="shared" ca="1" si="247"/>
        <v>47.693441141679791</v>
      </c>
      <c r="L530" s="304">
        <f t="shared" ca="1" si="232"/>
        <v>710.23636715440603</v>
      </c>
      <c r="M530" s="306">
        <f t="shared" ca="1" si="248"/>
        <v>-1.5046359906601081</v>
      </c>
      <c r="N530" s="304">
        <f t="shared" ca="1" si="249"/>
        <v>-86.209291968309742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4.0843000000000034</v>
      </c>
      <c r="T530" s="304">
        <f t="shared" ca="1" si="233"/>
        <v>40.066983000000036</v>
      </c>
      <c r="U530" s="311">
        <f t="shared" ca="1" si="234"/>
        <v>0</v>
      </c>
      <c r="V530" s="306">
        <f t="shared" ca="1" si="235"/>
        <v>1.219171452634181</v>
      </c>
      <c r="W530" s="304">
        <f t="shared" ca="1" si="236"/>
        <v>32.892186204426622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 t="e">
        <f t="shared" ca="1" si="237"/>
        <v>#N/A</v>
      </c>
      <c r="AG530" s="306">
        <f t="shared" ca="1" si="259"/>
        <v>1.7667051353248855</v>
      </c>
      <c r="AH530" s="304">
        <f t="shared" ca="1" si="260"/>
        <v>-8.0215197351089476</v>
      </c>
    </row>
    <row r="531" spans="1:34" x14ac:dyDescent="0.2">
      <c r="A531" s="347">
        <f t="shared" ca="1" si="238"/>
        <v>0.1</v>
      </c>
      <c r="B531" s="304">
        <f t="shared" ca="1" si="239"/>
        <v>41.300000000000288</v>
      </c>
      <c r="D531" s="306">
        <f t="shared" ca="1" si="240"/>
        <v>-0.53242192459966953</v>
      </c>
      <c r="E531" s="307">
        <f t="shared" ca="1" si="241"/>
        <v>-1.7742962603872421</v>
      </c>
      <c r="F531" s="304">
        <f t="shared" ca="1" si="242"/>
        <v>1.8524579146146798</v>
      </c>
      <c r="G531" s="306">
        <f t="shared" ca="1" si="243"/>
        <v>8.9327440046504947</v>
      </c>
      <c r="H531" s="307">
        <f t="shared" ca="1" si="244"/>
        <v>-135.8005502225906</v>
      </c>
      <c r="I531" s="304">
        <f t="shared" ca="1" si="245"/>
        <v>136.09402395480475</v>
      </c>
      <c r="J531" s="306">
        <f t="shared" ca="1" si="246"/>
        <v>709.52915115695555</v>
      </c>
      <c r="K531" s="307">
        <f t="shared" ca="1" si="247"/>
        <v>34.122257600722669</v>
      </c>
      <c r="L531" s="304">
        <f t="shared" ca="1" si="232"/>
        <v>710.3491710456766</v>
      </c>
      <c r="M531" s="306">
        <f t="shared" ca="1" si="248"/>
        <v>-1.505112543205724</v>
      </c>
      <c r="N531" s="304">
        <f t="shared" ca="1" si="249"/>
        <v>-86.236596417889757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4.0843000000000034</v>
      </c>
      <c r="T531" s="304">
        <f t="shared" ca="1" si="233"/>
        <v>40.066983000000036</v>
      </c>
      <c r="U531" s="311">
        <f t="shared" ca="1" si="234"/>
        <v>0</v>
      </c>
      <c r="V531" s="306">
        <f t="shared" ca="1" si="235"/>
        <v>1.2208271428093109</v>
      </c>
      <c r="W531" s="304">
        <f t="shared" ca="1" si="236"/>
        <v>33.021013462448124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 t="e">
        <f t="shared" ca="1" si="237"/>
        <v>#N/A</v>
      </c>
      <c r="AG531" s="306">
        <f t="shared" ca="1" si="259"/>
        <v>1.7352149394408762</v>
      </c>
      <c r="AH531" s="304">
        <f t="shared" ca="1" si="260"/>
        <v>-8.0533227736519351</v>
      </c>
    </row>
    <row r="532" spans="1:34" x14ac:dyDescent="0.2">
      <c r="A532" s="347">
        <f t="shared" ca="1" si="238"/>
        <v>0.1</v>
      </c>
      <c r="B532" s="304">
        <f t="shared" ca="1" si="239"/>
        <v>41.40000000000029</v>
      </c>
      <c r="D532" s="306">
        <f t="shared" ca="1" si="240"/>
        <v>-0.53066274198864538</v>
      </c>
      <c r="E532" s="307">
        <f t="shared" ca="1" si="241"/>
        <v>-1.7425693978055286</v>
      </c>
      <c r="F532" s="304">
        <f t="shared" ca="1" si="242"/>
        <v>1.8215792741199133</v>
      </c>
      <c r="G532" s="306">
        <f t="shared" ca="1" si="243"/>
        <v>8.8796777304516308</v>
      </c>
      <c r="H532" s="307">
        <f t="shared" ca="1" si="244"/>
        <v>-135.97480716237115</v>
      </c>
      <c r="I532" s="304">
        <f t="shared" ca="1" si="245"/>
        <v>136.2644372513999</v>
      </c>
      <c r="J532" s="306">
        <f t="shared" ca="1" si="246"/>
        <v>710.41977224371067</v>
      </c>
      <c r="K532" s="307">
        <f t="shared" ca="1" si="247"/>
        <v>20.533489731474582</v>
      </c>
      <c r="L532" s="304">
        <f t="shared" ca="1" si="232"/>
        <v>710.7164533028332</v>
      </c>
      <c r="M532" s="306">
        <f t="shared" ca="1" si="248"/>
        <v>-1.505585076408045</v>
      </c>
      <c r="N532" s="304">
        <f t="shared" ca="1" si="249"/>
        <v>-86.263670576062552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4.0843000000000034</v>
      </c>
      <c r="T532" s="304">
        <f t="shared" ca="1" si="233"/>
        <v>40.066983000000036</v>
      </c>
      <c r="U532" s="311">
        <f t="shared" ca="1" si="234"/>
        <v>0</v>
      </c>
      <c r="V532" s="306">
        <f t="shared" ca="1" si="235"/>
        <v>1.2224872273075085</v>
      </c>
      <c r="W532" s="304">
        <f t="shared" ca="1" si="236"/>
        <v>33.148775893268606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 t="e">
        <f t="shared" ca="1" si="237"/>
        <v>#N/A</v>
      </c>
      <c r="AG532" s="306">
        <f t="shared" ca="1" si="259"/>
        <v>1.703980835139836</v>
      </c>
      <c r="AH532" s="304">
        <f t="shared" ca="1" si="260"/>
        <v>-8.0848648391274143</v>
      </c>
    </row>
    <row r="533" spans="1:34" x14ac:dyDescent="0.2">
      <c r="A533" s="347">
        <f t="shared" ca="1" si="238"/>
        <v>0.1</v>
      </c>
      <c r="B533" s="304">
        <f t="shared" ca="1" si="239"/>
        <v>41.500000000000291</v>
      </c>
      <c r="D533" s="306">
        <f t="shared" ca="1" si="240"/>
        <v>-0.52888900475198009</v>
      </c>
      <c r="E533" s="307">
        <f t="shared" ca="1" si="241"/>
        <v>-1.711104678064574</v>
      </c>
      <c r="F533" s="304">
        <f t="shared" ca="1" si="242"/>
        <v>1.790978168108704</v>
      </c>
      <c r="G533" s="306">
        <f t="shared" ca="1" si="243"/>
        <v>8.826788829976433</v>
      </c>
      <c r="H533" s="307">
        <f t="shared" ca="1" si="244"/>
        <v>-136.14591763017762</v>
      </c>
      <c r="I533" s="304">
        <f t="shared" ca="1" si="245"/>
        <v>136.43175249336974</v>
      </c>
      <c r="J533" s="306">
        <f t="shared" ca="1" si="246"/>
        <v>711.30509557173207</v>
      </c>
      <c r="K533" s="307">
        <f t="shared" ca="1" si="247"/>
        <v>6.9274534918471407</v>
      </c>
      <c r="L533" s="304">
        <f t="shared" ca="1" si="232"/>
        <v>711.33882826554088</v>
      </c>
      <c r="M533" s="306">
        <f t="shared" ca="1" si="248"/>
        <v>-1.5060536396789896</v>
      </c>
      <c r="N533" s="304">
        <f t="shared" ca="1" si="249"/>
        <v>-86.290517273922518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4.0843000000000034</v>
      </c>
      <c r="T533" s="304">
        <f t="shared" ca="1" si="233"/>
        <v>40.066983000000036</v>
      </c>
      <c r="U533" s="311">
        <f t="shared" ca="1" si="234"/>
        <v>0</v>
      </c>
      <c r="V533" s="306">
        <f t="shared" ca="1" si="235"/>
        <v>1.2241516807818453</v>
      </c>
      <c r="W533" s="304">
        <f t="shared" ca="1" si="236"/>
        <v>33.275474724231046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 t="e">
        <f t="shared" ca="1" si="237"/>
        <v>#N/A</v>
      </c>
      <c r="AG533" s="306">
        <f t="shared" ca="1" si="259"/>
        <v>1.6730026506952225</v>
      </c>
      <c r="AH533" s="304">
        <f t="shared" ca="1" si="260"/>
        <v>-8.1161461923141243</v>
      </c>
    </row>
    <row r="534" spans="1:34" x14ac:dyDescent="0.2">
      <c r="A534" s="347">
        <f t="shared" ca="1" si="238"/>
        <v>0.1</v>
      </c>
      <c r="B534" s="304">
        <f t="shared" ca="1" si="239"/>
        <v>41.600000000000293</v>
      </c>
      <c r="D534" s="306">
        <f t="shared" ca="1" si="240"/>
        <v>-0.52710107828688246</v>
      </c>
      <c r="E534" s="307">
        <f t="shared" ca="1" si="241"/>
        <v>-1.6799017989971308</v>
      </c>
      <c r="F534" s="304">
        <f t="shared" ca="1" si="242"/>
        <v>1.7606548784486387</v>
      </c>
      <c r="G534" s="306">
        <f t="shared" ca="1" si="243"/>
        <v>8.7740787221477454</v>
      </c>
      <c r="H534" s="307">
        <f t="shared" ca="1" si="244"/>
        <v>-136.31390781007732</v>
      </c>
      <c r="I534" s="304">
        <f t="shared" ca="1" si="245"/>
        <v>136.59599525563223</v>
      </c>
      <c r="J534" s="306">
        <f t="shared" ca="1" si="246"/>
        <v>712.18513894933824</v>
      </c>
      <c r="K534" s="307">
        <f t="shared" ca="1" si="247"/>
        <v>-6.6955377801656066</v>
      </c>
      <c r="L534" s="304">
        <f t="shared" ca="1" si="232"/>
        <v>712.21661197030073</v>
      </c>
      <c r="M534" s="306">
        <f t="shared" ca="1" si="248"/>
        <v>-1.5065182815411009</v>
      </c>
      <c r="N534" s="304">
        <f t="shared" ca="1" si="249"/>
        <v>-86.317139291606594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4.0843000000000034</v>
      </c>
      <c r="T534" s="304">
        <f t="shared" ca="1" si="233"/>
        <v>40.066983000000036</v>
      </c>
      <c r="U534" s="311">
        <f t="shared" ca="1" si="234"/>
        <v>0</v>
      </c>
      <c r="V534" s="306">
        <f t="shared" ca="1" si="235"/>
        <v>1.2258204780551611</v>
      </c>
      <c r="W534" s="304">
        <f t="shared" ca="1" si="236"/>
        <v>33.401111341663885</v>
      </c>
      <c r="Y534" s="314" t="str">
        <f t="shared" ca="1" si="254"/>
        <v>Impact balistique</v>
      </c>
      <c r="Z534" s="315" t="str">
        <f t="shared" ca="1" si="255"/>
        <v/>
      </c>
      <c r="AA534" s="316" t="str">
        <f t="shared" ca="1" si="256"/>
        <v/>
      </c>
      <c r="AC534" s="310" t="e">
        <f t="shared" ca="1" si="257"/>
        <v>#N/A</v>
      </c>
      <c r="AD534" s="323" t="e">
        <f t="shared" ca="1" si="258"/>
        <v>#N/A</v>
      </c>
      <c r="AE534" s="324" t="e">
        <f t="shared" ca="1" si="237"/>
        <v>#N/A</v>
      </c>
      <c r="AG534" s="306">
        <f t="shared" ca="1" si="259"/>
        <v>1.6422801726735017</v>
      </c>
      <c r="AH534" s="304">
        <f t="shared" ca="1" si="260"/>
        <v>-8.1471671337147171</v>
      </c>
    </row>
    <row r="535" spans="1:34" x14ac:dyDescent="0.2">
      <c r="A535" s="347">
        <f t="shared" ca="1" si="238"/>
        <v>1E-4</v>
      </c>
      <c r="B535" s="304">
        <f t="shared" ca="1" si="239"/>
        <v>41.600100000000296</v>
      </c>
      <c r="D535" s="306">
        <f t="shared" ca="1" si="240"/>
        <v>-0.52529932481527331</v>
      </c>
      <c r="E535" s="307">
        <f t="shared" ca="1" si="241"/>
        <v>-1.6489604193068939</v>
      </c>
      <c r="F535" s="304">
        <f t="shared" ca="1" si="242"/>
        <v>1.7306096743899675</v>
      </c>
      <c r="G535" s="306">
        <f t="shared" ca="1" si="243"/>
        <v>8.7740261922152634</v>
      </c>
      <c r="H535" s="307">
        <f t="shared" ca="1" si="244"/>
        <v>-136.31407270611925</v>
      </c>
      <c r="I535" s="304">
        <f t="shared" ca="1" si="245"/>
        <v>136.59615643696145</v>
      </c>
      <c r="J535" s="306">
        <f t="shared" ca="1" si="246"/>
        <v>712.18513894933824</v>
      </c>
      <c r="K535" s="307">
        <f t="shared" ca="1" si="247"/>
        <v>-6.7091691791914165</v>
      </c>
      <c r="L535" s="304">
        <f t="shared" ca="1" si="232"/>
        <v>712.21674024931713</v>
      </c>
      <c r="M535" s="306">
        <f t="shared" ca="1" si="248"/>
        <v>-1.5065187428523956</v>
      </c>
      <c r="N535" s="304">
        <f t="shared" ca="1" si="249"/>
        <v>-86.31716572279683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4.0843000000000034</v>
      </c>
      <c r="T535" s="304">
        <f t="shared" ca="1" si="233"/>
        <v>40.066983000000036</v>
      </c>
      <c r="U535" s="311">
        <f t="shared" ca="1" si="234"/>
        <v>0</v>
      </c>
      <c r="V535" s="306">
        <f t="shared" ca="1" si="235"/>
        <v>1.2258221490212946</v>
      </c>
      <c r="W535" s="304">
        <f t="shared" ca="1" si="236"/>
        <v>33.401235697913116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 t="e">
        <f t="shared" ca="1" si="237"/>
        <v>#N/A</v>
      </c>
      <c r="AG535" s="306">
        <f t="shared" ca="1" si="259"/>
        <v>1.6118131467852699</v>
      </c>
      <c r="AH535" s="304">
        <f t="shared" ca="1" si="260"/>
        <v>-8.1779280027578434</v>
      </c>
    </row>
    <row r="536" spans="1:34" x14ac:dyDescent="0.2">
      <c r="A536" s="347">
        <f t="shared" ca="1" si="238"/>
        <v>1E-4</v>
      </c>
      <c r="B536" s="304">
        <f t="shared" ca="1" si="239"/>
        <v>41.600200000000299</v>
      </c>
      <c r="D536" s="306">
        <f t="shared" ca="1" si="240"/>
        <v>-0.52529751577237116</v>
      </c>
      <c r="E536" s="307">
        <f t="shared" ca="1" si="241"/>
        <v>-1.6489297924742274</v>
      </c>
      <c r="F536" s="304">
        <f t="shared" ca="1" si="242"/>
        <v>1.7305799434252447</v>
      </c>
      <c r="G536" s="306">
        <f t="shared" ca="1" si="243"/>
        <v>8.7739736624636855</v>
      </c>
      <c r="H536" s="307">
        <f t="shared" ca="1" si="244"/>
        <v>-136.3142375990985</v>
      </c>
      <c r="I536" s="304">
        <f t="shared" ca="1" si="245"/>
        <v>136.59631761527498</v>
      </c>
      <c r="J536" s="306">
        <f t="shared" ca="1" si="246"/>
        <v>712.18513894933824</v>
      </c>
      <c r="K536" s="307">
        <f t="shared" ca="1" si="247"/>
        <v>-6.7228005947066771</v>
      </c>
      <c r="L536" s="304">
        <f t="shared" ca="1" si="232"/>
        <v>712.21686878936282</v>
      </c>
      <c r="M536" s="306">
        <f t="shared" ca="1" si="248"/>
        <v>-1.5065192041598399</v>
      </c>
      <c r="N536" s="304">
        <f t="shared" ca="1" si="249"/>
        <v>-86.317192153766442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4.0843000000000034</v>
      </c>
      <c r="T536" s="304">
        <f t="shared" ca="1" si="233"/>
        <v>40.066983000000036</v>
      </c>
      <c r="U536" s="311">
        <f t="shared" ca="1" si="234"/>
        <v>0</v>
      </c>
      <c r="V536" s="306">
        <f t="shared" ca="1" si="235"/>
        <v>1.2258238199917282</v>
      </c>
      <c r="W536" s="304">
        <f t="shared" ca="1" si="236"/>
        <v>33.401360053112619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 t="e">
        <f t="shared" ca="1" si="237"/>
        <v>#N/A</v>
      </c>
      <c r="AG536" s="306">
        <f t="shared" ca="1" si="259"/>
        <v>1.6117829900882317</v>
      </c>
      <c r="AH536" s="304">
        <f t="shared" ca="1" si="260"/>
        <v>-8.1779584501415385</v>
      </c>
    </row>
    <row r="537" spans="1:34" x14ac:dyDescent="0.2">
      <c r="A537" s="347">
        <f t="shared" ca="1" si="238"/>
        <v>1E-4</v>
      </c>
      <c r="B537" s="304">
        <f t="shared" ca="1" si="239"/>
        <v>41.600300000000303</v>
      </c>
      <c r="D537" s="306">
        <f t="shared" ca="1" si="240"/>
        <v>-0.52529570671623904</v>
      </c>
      <c r="E537" s="307">
        <f t="shared" ca="1" si="241"/>
        <v>-1.6488991658999979</v>
      </c>
      <c r="F537" s="304">
        <f t="shared" ca="1" si="242"/>
        <v>1.7305502127358863</v>
      </c>
      <c r="G537" s="306">
        <f t="shared" ca="1" si="243"/>
        <v>8.7739211328930136</v>
      </c>
      <c r="H537" s="307">
        <f t="shared" ca="1" si="244"/>
        <v>-136.31440248901509</v>
      </c>
      <c r="I537" s="304">
        <f t="shared" ca="1" si="245"/>
        <v>136.59647879057289</v>
      </c>
      <c r="J537" s="306">
        <f t="shared" ca="1" si="246"/>
        <v>712.18513894933824</v>
      </c>
      <c r="K537" s="307">
        <f t="shared" ca="1" si="247"/>
        <v>-6.7364320267110829</v>
      </c>
      <c r="L537" s="304">
        <f t="shared" ca="1" si="232"/>
        <v>712.2169975904385</v>
      </c>
      <c r="M537" s="306">
        <f t="shared" ca="1" si="248"/>
        <v>-1.5065196654634334</v>
      </c>
      <c r="N537" s="304">
        <f t="shared" ca="1" si="249"/>
        <v>-86.317218584515416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4.0843000000000034</v>
      </c>
      <c r="T537" s="304">
        <f t="shared" ca="1" si="233"/>
        <v>40.066983000000036</v>
      </c>
      <c r="U537" s="311">
        <f t="shared" ca="1" si="234"/>
        <v>0</v>
      </c>
      <c r="V537" s="306">
        <f t="shared" ca="1" si="235"/>
        <v>1.2258254909664614</v>
      </c>
      <c r="W537" s="304">
        <f t="shared" ca="1" si="236"/>
        <v>33.401484407262366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 t="e">
        <f t="shared" ca="1" si="237"/>
        <v>#N/A</v>
      </c>
      <c r="AG537" s="306">
        <f t="shared" ca="1" si="259"/>
        <v>1.611752833643699</v>
      </c>
      <c r="AH537" s="304">
        <f t="shared" ca="1" si="260"/>
        <v>-8.1779888972682198</v>
      </c>
    </row>
    <row r="538" spans="1:34" x14ac:dyDescent="0.2">
      <c r="A538" s="347">
        <f t="shared" ca="1" si="238"/>
        <v>1E-4</v>
      </c>
      <c r="B538" s="304">
        <f t="shared" ca="1" si="239"/>
        <v>41.600400000000306</v>
      </c>
      <c r="D538" s="306">
        <f t="shared" ca="1" si="240"/>
        <v>-0.52529389764687906</v>
      </c>
      <c r="E538" s="307">
        <f t="shared" ca="1" si="241"/>
        <v>-1.6488685395842158</v>
      </c>
      <c r="F538" s="304">
        <f t="shared" ca="1" si="242"/>
        <v>1.7305204823219038</v>
      </c>
      <c r="G538" s="306">
        <f t="shared" ca="1" si="243"/>
        <v>8.7738686035032494</v>
      </c>
      <c r="H538" s="307">
        <f t="shared" ca="1" si="244"/>
        <v>-136.31456737586905</v>
      </c>
      <c r="I538" s="304">
        <f t="shared" ca="1" si="245"/>
        <v>136.59663996285516</v>
      </c>
      <c r="J538" s="306">
        <f t="shared" ca="1" si="246"/>
        <v>712.18513894933824</v>
      </c>
      <c r="K538" s="307">
        <f t="shared" ca="1" si="247"/>
        <v>-6.7500634752043274</v>
      </c>
      <c r="L538" s="304">
        <f t="shared" ca="1" si="232"/>
        <v>712.21712665254518</v>
      </c>
      <c r="M538" s="306">
        <f t="shared" ca="1" si="248"/>
        <v>-1.5065201267631767</v>
      </c>
      <c r="N538" s="304">
        <f t="shared" ca="1" si="249"/>
        <v>-86.31724501504381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4.0843000000000034</v>
      </c>
      <c r="T538" s="304">
        <f t="shared" ca="1" si="233"/>
        <v>40.066983000000036</v>
      </c>
      <c r="U538" s="311">
        <f t="shared" ca="1" si="234"/>
        <v>0</v>
      </c>
      <c r="V538" s="306">
        <f t="shared" ca="1" si="235"/>
        <v>1.2258271619454943</v>
      </c>
      <c r="W538" s="304">
        <f t="shared" ca="1" si="236"/>
        <v>33.401608760362372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 t="e">
        <f t="shared" ca="1" si="237"/>
        <v>#N/A</v>
      </c>
      <c r="AG538" s="306">
        <f t="shared" ca="1" si="259"/>
        <v>1.6117226774516791</v>
      </c>
      <c r="AH538" s="304">
        <f t="shared" ca="1" si="260"/>
        <v>-8.1780193441378781</v>
      </c>
    </row>
    <row r="539" spans="1:34" x14ac:dyDescent="0.2">
      <c r="A539" s="347">
        <f t="shared" ca="1" si="238"/>
        <v>1E-4</v>
      </c>
      <c r="B539" s="304">
        <f t="shared" ca="1" si="239"/>
        <v>41.600500000000309</v>
      </c>
      <c r="D539" s="306">
        <f t="shared" ca="1" si="240"/>
        <v>-0.52529208856428866</v>
      </c>
      <c r="E539" s="307">
        <f t="shared" ca="1" si="241"/>
        <v>-1.6488379135268758</v>
      </c>
      <c r="F539" s="304">
        <f t="shared" ca="1" si="242"/>
        <v>1.7304907521832913</v>
      </c>
      <c r="G539" s="306">
        <f t="shared" ca="1" si="243"/>
        <v>8.7738160742943929</v>
      </c>
      <c r="H539" s="307">
        <f t="shared" ca="1" si="244"/>
        <v>-136.31473225966039</v>
      </c>
      <c r="I539" s="304">
        <f t="shared" ca="1" si="245"/>
        <v>136.59680113212184</v>
      </c>
      <c r="J539" s="306">
        <f t="shared" ca="1" si="246"/>
        <v>712.18513894933824</v>
      </c>
      <c r="K539" s="307">
        <f t="shared" ca="1" si="247"/>
        <v>-6.7636949401861042</v>
      </c>
      <c r="L539" s="304">
        <f t="shared" ca="1" si="232"/>
        <v>712.21725597568343</v>
      </c>
      <c r="M539" s="306">
        <f t="shared" ca="1" si="248"/>
        <v>-1.5065205880590697</v>
      </c>
      <c r="N539" s="304">
        <f t="shared" ca="1" si="249"/>
        <v>-86.317271445351579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4.0843000000000034</v>
      </c>
      <c r="T539" s="304">
        <f t="shared" ca="1" si="233"/>
        <v>40.066983000000036</v>
      </c>
      <c r="U539" s="311">
        <f t="shared" ca="1" si="234"/>
        <v>0</v>
      </c>
      <c r="V539" s="306">
        <f t="shared" ca="1" si="235"/>
        <v>1.2258288329288272</v>
      </c>
      <c r="W539" s="304">
        <f t="shared" ca="1" si="236"/>
        <v>33.401733112412643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 t="e">
        <f t="shared" ca="1" si="237"/>
        <v>#N/A</v>
      </c>
      <c r="AG539" s="306">
        <f t="shared" ca="1" si="259"/>
        <v>1.6116925215121682</v>
      </c>
      <c r="AH539" s="304">
        <f t="shared" ca="1" si="260"/>
        <v>-8.178049790750519</v>
      </c>
    </row>
    <row r="540" spans="1:34" x14ac:dyDescent="0.2">
      <c r="A540" s="347">
        <f t="shared" ca="1" si="238"/>
        <v>1E-4</v>
      </c>
      <c r="B540" s="304">
        <f t="shared" ca="1" si="239"/>
        <v>41.600600000000313</v>
      </c>
      <c r="D540" s="306">
        <f t="shared" ca="1" si="240"/>
        <v>-0.52529027946846851</v>
      </c>
      <c r="E540" s="307">
        <f t="shared" ca="1" si="241"/>
        <v>-1.6488072877279762</v>
      </c>
      <c r="F540" s="304">
        <f t="shared" ca="1" si="242"/>
        <v>1.7304610223200483</v>
      </c>
      <c r="G540" s="306">
        <f t="shared" ca="1" si="243"/>
        <v>8.773763545266446</v>
      </c>
      <c r="H540" s="307">
        <f t="shared" ca="1" si="244"/>
        <v>-136.31489714038915</v>
      </c>
      <c r="I540" s="304">
        <f t="shared" ca="1" si="245"/>
        <v>136.59696229837294</v>
      </c>
      <c r="J540" s="306">
        <f t="shared" ca="1" si="246"/>
        <v>712.18513894933824</v>
      </c>
      <c r="K540" s="307">
        <f t="shared" ca="1" si="247"/>
        <v>-6.7773264216561069</v>
      </c>
      <c r="L540" s="304">
        <f t="shared" ca="1" si="232"/>
        <v>712.21738555985416</v>
      </c>
      <c r="M540" s="306">
        <f t="shared" ca="1" si="248"/>
        <v>-1.5065210493511123</v>
      </c>
      <c r="N540" s="304">
        <f t="shared" ca="1" si="249"/>
        <v>-86.31729787543874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4.0843000000000034</v>
      </c>
      <c r="T540" s="304">
        <f t="shared" ca="1" si="233"/>
        <v>40.066983000000036</v>
      </c>
      <c r="U540" s="311">
        <f t="shared" ca="1" si="234"/>
        <v>0</v>
      </c>
      <c r="V540" s="306">
        <f t="shared" ca="1" si="235"/>
        <v>1.2258305039164596</v>
      </c>
      <c r="W540" s="304">
        <f t="shared" ca="1" si="236"/>
        <v>33.401857463413172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 t="e">
        <f t="shared" ca="1" si="237"/>
        <v>#N/A</v>
      </c>
      <c r="AG540" s="306">
        <f t="shared" ca="1" si="259"/>
        <v>1.6116623658251648</v>
      </c>
      <c r="AH540" s="304">
        <f t="shared" ca="1" si="260"/>
        <v>-8.1780802371061423</v>
      </c>
    </row>
    <row r="541" spans="1:34" x14ac:dyDescent="0.2">
      <c r="A541" s="347">
        <f t="shared" ca="1" si="238"/>
        <v>1E-4</v>
      </c>
      <c r="B541" s="304">
        <f t="shared" ca="1" si="239"/>
        <v>41.600700000000316</v>
      </c>
      <c r="D541" s="306">
        <f t="shared" ca="1" si="240"/>
        <v>-0.52528847035942094</v>
      </c>
      <c r="E541" s="307">
        <f t="shared" ca="1" si="241"/>
        <v>-1.6487766621875206</v>
      </c>
      <c r="F541" s="304">
        <f t="shared" ca="1" si="242"/>
        <v>1.7304312927321794</v>
      </c>
      <c r="G541" s="306">
        <f t="shared" ca="1" si="243"/>
        <v>8.7737110164194103</v>
      </c>
      <c r="H541" s="307">
        <f t="shared" ca="1" si="244"/>
        <v>-136.31506201805536</v>
      </c>
      <c r="I541" s="304">
        <f t="shared" ca="1" si="245"/>
        <v>136.5971234616085</v>
      </c>
      <c r="J541" s="306">
        <f t="shared" ca="1" si="246"/>
        <v>712.18513894933824</v>
      </c>
      <c r="K541" s="307">
        <f t="shared" ca="1" si="247"/>
        <v>-6.7909579196140291</v>
      </c>
      <c r="L541" s="304">
        <f t="shared" ca="1" si="232"/>
        <v>712.21751540505818</v>
      </c>
      <c r="M541" s="306">
        <f t="shared" ca="1" si="248"/>
        <v>-1.5065215106393046</v>
      </c>
      <c r="N541" s="304">
        <f t="shared" ca="1" si="249"/>
        <v>-86.317324305305306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4.0843000000000034</v>
      </c>
      <c r="T541" s="304">
        <f t="shared" ca="1" si="233"/>
        <v>40.066983000000036</v>
      </c>
      <c r="U541" s="311">
        <f t="shared" ca="1" si="234"/>
        <v>0</v>
      </c>
      <c r="V541" s="306">
        <f t="shared" ca="1" si="235"/>
        <v>1.2258321749083918</v>
      </c>
      <c r="W541" s="304">
        <f t="shared" ca="1" si="236"/>
        <v>33.401981813363975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 t="e">
        <f t="shared" ca="1" si="237"/>
        <v>#N/A</v>
      </c>
      <c r="AG541" s="306">
        <f t="shared" ca="1" si="259"/>
        <v>1.6116322103906704</v>
      </c>
      <c r="AH541" s="304">
        <f t="shared" ca="1" si="260"/>
        <v>-8.1781106832047463</v>
      </c>
    </row>
    <row r="542" spans="1:34" x14ac:dyDescent="0.2">
      <c r="A542" s="347">
        <f t="shared" ca="1" si="238"/>
        <v>1E-4</v>
      </c>
      <c r="B542" s="304">
        <f t="shared" ca="1" si="239"/>
        <v>41.600800000000319</v>
      </c>
      <c r="D542" s="306">
        <f t="shared" ca="1" si="240"/>
        <v>-0.52528666123714518</v>
      </c>
      <c r="E542" s="307">
        <f t="shared" ca="1" si="241"/>
        <v>-1.6487460369055054</v>
      </c>
      <c r="F542" s="304">
        <f t="shared" ca="1" si="242"/>
        <v>1.7304015634196814</v>
      </c>
      <c r="G542" s="306">
        <f t="shared" ca="1" si="243"/>
        <v>8.7736584877532859</v>
      </c>
      <c r="H542" s="307">
        <f t="shared" ca="1" si="244"/>
        <v>-136.31522689265904</v>
      </c>
      <c r="I542" s="304">
        <f t="shared" ca="1" si="245"/>
        <v>136.59728462182855</v>
      </c>
      <c r="J542" s="306">
        <f t="shared" ca="1" si="246"/>
        <v>712.18513894933824</v>
      </c>
      <c r="K542" s="307">
        <f t="shared" ca="1" si="247"/>
        <v>-6.8045894340595652</v>
      </c>
      <c r="L542" s="304">
        <f t="shared" ca="1" si="232"/>
        <v>712.21764551129615</v>
      </c>
      <c r="M542" s="306">
        <f t="shared" ca="1" si="248"/>
        <v>-1.5065219719236467</v>
      </c>
      <c r="N542" s="304">
        <f t="shared" ca="1" si="249"/>
        <v>-86.317350734951262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4.0843000000000034</v>
      </c>
      <c r="T542" s="304">
        <f t="shared" ca="1" si="233"/>
        <v>40.066983000000036</v>
      </c>
      <c r="U542" s="311">
        <f t="shared" ca="1" si="234"/>
        <v>0</v>
      </c>
      <c r="V542" s="306">
        <f t="shared" ca="1" si="235"/>
        <v>1.2258338459046241</v>
      </c>
      <c r="W542" s="304">
        <f t="shared" ca="1" si="236"/>
        <v>33.402106162265042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 t="e">
        <f t="shared" ca="1" si="237"/>
        <v>#N/A</v>
      </c>
      <c r="AG542" s="306">
        <f t="shared" ca="1" si="259"/>
        <v>1.6116020552086834</v>
      </c>
      <c r="AH542" s="304">
        <f t="shared" ca="1" si="260"/>
        <v>-8.1781411290463346</v>
      </c>
    </row>
    <row r="543" spans="1:34" x14ac:dyDescent="0.2">
      <c r="A543" s="347">
        <f t="shared" ca="1" si="238"/>
        <v>1E-4</v>
      </c>
      <c r="B543" s="304">
        <f t="shared" ca="1" si="239"/>
        <v>41.600900000000323</v>
      </c>
      <c r="D543" s="306">
        <f t="shared" ca="1" si="240"/>
        <v>-0.52528485210164189</v>
      </c>
      <c r="E543" s="307">
        <f t="shared" ca="1" si="241"/>
        <v>-1.6487154118819305</v>
      </c>
      <c r="F543" s="304">
        <f t="shared" ca="1" si="242"/>
        <v>1.7303718343825549</v>
      </c>
      <c r="G543" s="306">
        <f t="shared" ca="1" si="243"/>
        <v>8.7736059592680764</v>
      </c>
      <c r="H543" s="307">
        <f t="shared" ca="1" si="244"/>
        <v>-136.31539176420023</v>
      </c>
      <c r="I543" s="304">
        <f t="shared" ca="1" si="245"/>
        <v>136.59744577903311</v>
      </c>
      <c r="J543" s="306">
        <f t="shared" ca="1" si="246"/>
        <v>712.18513894933824</v>
      </c>
      <c r="K543" s="307">
        <f t="shared" ca="1" si="247"/>
        <v>-6.8182209649924079</v>
      </c>
      <c r="L543" s="304">
        <f t="shared" ca="1" si="232"/>
        <v>712.21777587856911</v>
      </c>
      <c r="M543" s="306">
        <f t="shared" ca="1" si="248"/>
        <v>-1.5065224332041385</v>
      </c>
      <c r="N543" s="304">
        <f t="shared" ca="1" si="249"/>
        <v>-86.317377164376609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4.0843000000000034</v>
      </c>
      <c r="T543" s="304">
        <f t="shared" ca="1" si="233"/>
        <v>40.066983000000036</v>
      </c>
      <c r="U543" s="311">
        <f t="shared" ca="1" si="234"/>
        <v>0</v>
      </c>
      <c r="V543" s="306">
        <f t="shared" ca="1" si="235"/>
        <v>1.2258355169051558</v>
      </c>
      <c r="W543" s="304">
        <f t="shared" ca="1" si="236"/>
        <v>33.402230510116382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 t="e">
        <f t="shared" ca="1" si="237"/>
        <v>#N/A</v>
      </c>
      <c r="AG543" s="306">
        <f t="shared" ca="1" si="259"/>
        <v>1.6115719002792037</v>
      </c>
      <c r="AH543" s="304">
        <f t="shared" ca="1" si="260"/>
        <v>-8.1781715746309072</v>
      </c>
    </row>
    <row r="544" spans="1:34" x14ac:dyDescent="0.2">
      <c r="A544" s="347">
        <f t="shared" ca="1" si="238"/>
        <v>1E-4</v>
      </c>
      <c r="B544" s="304">
        <f t="shared" ca="1" si="239"/>
        <v>41.601000000000326</v>
      </c>
      <c r="D544" s="306">
        <f t="shared" ca="1" si="240"/>
        <v>-0.52528304295291173</v>
      </c>
      <c r="E544" s="307">
        <f t="shared" ca="1" si="241"/>
        <v>-1.648684787116796</v>
      </c>
      <c r="F544" s="304">
        <f t="shared" ca="1" si="242"/>
        <v>1.7303421056208004</v>
      </c>
      <c r="G544" s="306">
        <f t="shared" ca="1" si="243"/>
        <v>8.7735534309637817</v>
      </c>
      <c r="H544" s="307">
        <f t="shared" ca="1" si="244"/>
        <v>-136.31555663267895</v>
      </c>
      <c r="I544" s="304">
        <f t="shared" ca="1" si="245"/>
        <v>136.59760693322221</v>
      </c>
      <c r="J544" s="306">
        <f t="shared" ca="1" si="246"/>
        <v>712.18513894933824</v>
      </c>
      <c r="K544" s="307">
        <f t="shared" ca="1" si="247"/>
        <v>-6.8318525124122518</v>
      </c>
      <c r="L544" s="304">
        <f t="shared" ca="1" si="232"/>
        <v>712.21790650687774</v>
      </c>
      <c r="M544" s="306">
        <f t="shared" ca="1" si="248"/>
        <v>-1.5065228944807803</v>
      </c>
      <c r="N544" s="304">
        <f t="shared" ca="1" si="249"/>
        <v>-86.317403593581375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4.0843000000000034</v>
      </c>
      <c r="T544" s="304">
        <f t="shared" ca="1" si="233"/>
        <v>40.066983000000036</v>
      </c>
      <c r="U544" s="311">
        <f t="shared" ca="1" si="234"/>
        <v>0</v>
      </c>
      <c r="V544" s="306">
        <f t="shared" ca="1" si="235"/>
        <v>1.225837187909987</v>
      </c>
      <c r="W544" s="304">
        <f t="shared" ca="1" si="236"/>
        <v>33.402354856918002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 t="e">
        <f t="shared" ca="1" si="257"/>
        <v>#N/A</v>
      </c>
      <c r="AD544" s="323" t="e">
        <f t="shared" ca="1" si="258"/>
        <v>#N/A</v>
      </c>
      <c r="AE544" s="324" t="e">
        <f t="shared" ca="1" si="237"/>
        <v>#N/A</v>
      </c>
      <c r="AG544" s="306">
        <f t="shared" ca="1" si="259"/>
        <v>1.6115417456022296</v>
      </c>
      <c r="AH544" s="304">
        <f t="shared" ca="1" si="260"/>
        <v>-8.178202019958464</v>
      </c>
    </row>
    <row r="545" spans="1:34" x14ac:dyDescent="0.2">
      <c r="A545" s="347">
        <f t="shared" ca="1" si="238"/>
        <v>1E-4</v>
      </c>
      <c r="B545" s="304">
        <f t="shared" ca="1" si="239"/>
        <v>41.601100000000329</v>
      </c>
      <c r="D545" s="306">
        <f t="shared" ca="1" si="240"/>
        <v>-0.52528123379095382</v>
      </c>
      <c r="E545" s="307">
        <f t="shared" ca="1" si="241"/>
        <v>-1.6486541626100983</v>
      </c>
      <c r="F545" s="304">
        <f t="shared" ca="1" si="242"/>
        <v>1.7303123771344153</v>
      </c>
      <c r="G545" s="306">
        <f t="shared" ca="1" si="243"/>
        <v>8.7735009028404018</v>
      </c>
      <c r="H545" s="307">
        <f t="shared" ca="1" si="244"/>
        <v>-136.3157214980952</v>
      </c>
      <c r="I545" s="304">
        <f t="shared" ca="1" si="245"/>
        <v>136.59776808439585</v>
      </c>
      <c r="J545" s="306">
        <f t="shared" ca="1" si="246"/>
        <v>712.18513894933824</v>
      </c>
      <c r="K545" s="307">
        <f t="shared" ca="1" si="247"/>
        <v>-6.8454840763187903</v>
      </c>
      <c r="L545" s="304">
        <f t="shared" ca="1" si="232"/>
        <v>712.21803739622271</v>
      </c>
      <c r="M545" s="306">
        <f t="shared" ca="1" si="248"/>
        <v>-1.506523355753572</v>
      </c>
      <c r="N545" s="304">
        <f t="shared" ca="1" si="249"/>
        <v>-86.317430022565546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4.0843000000000034</v>
      </c>
      <c r="T545" s="304">
        <f t="shared" ca="1" si="233"/>
        <v>40.066983000000036</v>
      </c>
      <c r="U545" s="311">
        <f t="shared" ca="1" si="234"/>
        <v>0</v>
      </c>
      <c r="V545" s="306">
        <f t="shared" ca="1" si="235"/>
        <v>1.2258388589191178</v>
      </c>
      <c r="W545" s="304">
        <f t="shared" ca="1" si="236"/>
        <v>33.402479202669873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 t="e">
        <f t="shared" ca="1" si="237"/>
        <v>#N/A</v>
      </c>
      <c r="AG545" s="306">
        <f t="shared" ca="1" si="259"/>
        <v>1.6115115911777593</v>
      </c>
      <c r="AH545" s="304">
        <f t="shared" ca="1" si="260"/>
        <v>-8.1782324650290068</v>
      </c>
    </row>
    <row r="546" spans="1:34" x14ac:dyDescent="0.2">
      <c r="A546" s="347">
        <f t="shared" ca="1" si="238"/>
        <v>1E-4</v>
      </c>
      <c r="B546" s="304">
        <f t="shared" ca="1" si="239"/>
        <v>41.601200000000333</v>
      </c>
      <c r="D546" s="306">
        <f t="shared" ca="1" si="240"/>
        <v>-0.52527942461576849</v>
      </c>
      <c r="E546" s="307">
        <f t="shared" ca="1" si="241"/>
        <v>-1.6486235383618446</v>
      </c>
      <c r="F546" s="304">
        <f t="shared" ca="1" si="242"/>
        <v>1.7302826489234067</v>
      </c>
      <c r="G546" s="306">
        <f t="shared" ca="1" si="243"/>
        <v>8.7734483748979404</v>
      </c>
      <c r="H546" s="307">
        <f t="shared" ca="1" si="244"/>
        <v>-136.31588636044904</v>
      </c>
      <c r="I546" s="304">
        <f t="shared" ca="1" si="245"/>
        <v>136.59792923255409</v>
      </c>
      <c r="J546" s="306">
        <f t="shared" ca="1" si="246"/>
        <v>712.18513894933824</v>
      </c>
      <c r="K546" s="307">
        <f t="shared" ca="1" si="247"/>
        <v>-6.8591156567117171</v>
      </c>
      <c r="L546" s="304">
        <f t="shared" ca="1" si="232"/>
        <v>712.21816854660506</v>
      </c>
      <c r="M546" s="306">
        <f t="shared" ca="1" si="248"/>
        <v>-1.5065238170225137</v>
      </c>
      <c r="N546" s="304">
        <f t="shared" ca="1" si="249"/>
        <v>-86.317456451329122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4.0843000000000034</v>
      </c>
      <c r="T546" s="304">
        <f t="shared" ca="1" si="233"/>
        <v>40.066983000000036</v>
      </c>
      <c r="U546" s="311">
        <f t="shared" ca="1" si="234"/>
        <v>0</v>
      </c>
      <c r="V546" s="306">
        <f t="shared" ca="1" si="235"/>
        <v>1.2258405299325483</v>
      </c>
      <c r="W546" s="304">
        <f t="shared" ca="1" si="236"/>
        <v>33.402603547372031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 t="e">
        <f t="shared" ca="1" si="237"/>
        <v>#N/A</v>
      </c>
      <c r="AG546" s="306">
        <f t="shared" ca="1" si="259"/>
        <v>1.6114814370058017</v>
      </c>
      <c r="AH546" s="304">
        <f t="shared" ca="1" si="260"/>
        <v>-8.1782629098425303</v>
      </c>
    </row>
    <row r="547" spans="1:34" x14ac:dyDescent="0.2">
      <c r="A547" s="347">
        <f t="shared" ca="1" si="238"/>
        <v>1E-4</v>
      </c>
      <c r="B547" s="304">
        <f t="shared" ca="1" si="239"/>
        <v>41.601300000000336</v>
      </c>
      <c r="D547" s="306">
        <f t="shared" ca="1" si="240"/>
        <v>-0.52527761542735674</v>
      </c>
      <c r="E547" s="307">
        <f t="shared" ca="1" si="241"/>
        <v>-1.6485929143720277</v>
      </c>
      <c r="F547" s="304">
        <f t="shared" ca="1" si="242"/>
        <v>1.7302529209877688</v>
      </c>
      <c r="G547" s="306">
        <f t="shared" ca="1" si="243"/>
        <v>8.7733958471363973</v>
      </c>
      <c r="H547" s="307">
        <f t="shared" ca="1" si="244"/>
        <v>-136.31605121974047</v>
      </c>
      <c r="I547" s="304">
        <f t="shared" ca="1" si="245"/>
        <v>136.59809037769691</v>
      </c>
      <c r="J547" s="306">
        <f t="shared" ca="1" si="246"/>
        <v>712.18513894933824</v>
      </c>
      <c r="K547" s="307">
        <f t="shared" ca="1" si="247"/>
        <v>-6.8727472535907266</v>
      </c>
      <c r="L547" s="304">
        <f t="shared" ca="1" si="232"/>
        <v>712.21829995802545</v>
      </c>
      <c r="M547" s="306">
        <f t="shared" ca="1" si="248"/>
        <v>-1.5065242782876054</v>
      </c>
      <c r="N547" s="304">
        <f t="shared" ca="1" si="249"/>
        <v>-86.317482879872117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4.0843000000000034</v>
      </c>
      <c r="T547" s="304">
        <f t="shared" ca="1" si="233"/>
        <v>40.066983000000036</v>
      </c>
      <c r="U547" s="311">
        <f t="shared" ca="1" si="234"/>
        <v>0</v>
      </c>
      <c r="V547" s="306">
        <f t="shared" ca="1" si="235"/>
        <v>1.2258422009502783</v>
      </c>
      <c r="W547" s="304">
        <f t="shared" ca="1" si="236"/>
        <v>33.402727891024448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 t="e">
        <f t="shared" ca="1" si="237"/>
        <v>#N/A</v>
      </c>
      <c r="AG547" s="306">
        <f t="shared" ca="1" si="259"/>
        <v>1.6114512830863479</v>
      </c>
      <c r="AH547" s="304">
        <f t="shared" ca="1" si="260"/>
        <v>-8.1782933543990417</v>
      </c>
    </row>
    <row r="548" spans="1:34" x14ac:dyDescent="0.2">
      <c r="A548" s="347">
        <f t="shared" ca="1" si="238"/>
        <v>1E-4</v>
      </c>
      <c r="B548" s="304">
        <f t="shared" ca="1" si="239"/>
        <v>41.601400000000339</v>
      </c>
      <c r="D548" s="306">
        <f t="shared" ca="1" si="240"/>
        <v>-0.52527580622571923</v>
      </c>
      <c r="E548" s="307">
        <f t="shared" ca="1" si="241"/>
        <v>-1.6485622906406547</v>
      </c>
      <c r="F548" s="304">
        <f t="shared" ca="1" si="242"/>
        <v>1.730223193327509</v>
      </c>
      <c r="G548" s="306">
        <f t="shared" ca="1" si="243"/>
        <v>8.7733433195557744</v>
      </c>
      <c r="H548" s="307">
        <f t="shared" ca="1" si="244"/>
        <v>-136.31621607596955</v>
      </c>
      <c r="I548" s="304">
        <f t="shared" ca="1" si="245"/>
        <v>136.5982515198244</v>
      </c>
      <c r="J548" s="306">
        <f t="shared" ca="1" si="246"/>
        <v>712.18513894933824</v>
      </c>
      <c r="K548" s="307">
        <f t="shared" ca="1" si="247"/>
        <v>-6.8863788669555124</v>
      </c>
      <c r="L548" s="304">
        <f t="shared" ca="1" si="232"/>
        <v>712.2184316304847</v>
      </c>
      <c r="M548" s="306">
        <f t="shared" ca="1" si="248"/>
        <v>-1.506524739548847</v>
      </c>
      <c r="N548" s="304">
        <f t="shared" ca="1" si="249"/>
        <v>-86.317509308194516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4.0843000000000034</v>
      </c>
      <c r="T548" s="304">
        <f t="shared" ca="1" si="233"/>
        <v>40.066983000000036</v>
      </c>
      <c r="U548" s="311">
        <f t="shared" ca="1" si="234"/>
        <v>0</v>
      </c>
      <c r="V548" s="306">
        <f t="shared" ca="1" si="235"/>
        <v>1.2258438719723079</v>
      </c>
      <c r="W548" s="304">
        <f t="shared" ca="1" si="236"/>
        <v>33.402852233627172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 t="e">
        <f t="shared" ca="1" si="237"/>
        <v>#N/A</v>
      </c>
      <c r="AG548" s="306">
        <f t="shared" ca="1" si="259"/>
        <v>1.6114211294194032</v>
      </c>
      <c r="AH548" s="304">
        <f t="shared" ca="1" si="260"/>
        <v>-8.1783237986985338</v>
      </c>
    </row>
    <row r="549" spans="1:34" x14ac:dyDescent="0.2">
      <c r="A549" s="347">
        <f t="shared" ca="1" si="238"/>
        <v>1E-4</v>
      </c>
      <c r="B549" s="304">
        <f t="shared" ca="1" si="239"/>
        <v>41.601500000000343</v>
      </c>
      <c r="D549" s="306">
        <f t="shared" ca="1" si="240"/>
        <v>-0.52527399701085697</v>
      </c>
      <c r="E549" s="307">
        <f t="shared" ca="1" si="241"/>
        <v>-1.6485316671677115</v>
      </c>
      <c r="F549" s="304">
        <f t="shared" ca="1" si="242"/>
        <v>1.7301934659426144</v>
      </c>
      <c r="G549" s="306">
        <f t="shared" ca="1" si="243"/>
        <v>8.7732907921560734</v>
      </c>
      <c r="H549" s="307">
        <f t="shared" ca="1" si="244"/>
        <v>-136.31638092913627</v>
      </c>
      <c r="I549" s="304">
        <f t="shared" ca="1" si="245"/>
        <v>136.59841265893655</v>
      </c>
      <c r="J549" s="306">
        <f t="shared" ca="1" si="246"/>
        <v>712.18513894933824</v>
      </c>
      <c r="K549" s="307">
        <f t="shared" ca="1" si="247"/>
        <v>-6.9000104968057681</v>
      </c>
      <c r="L549" s="304">
        <f t="shared" ca="1" si="232"/>
        <v>712.21856356398371</v>
      </c>
      <c r="M549" s="306">
        <f t="shared" ca="1" si="248"/>
        <v>-1.5065252008062389</v>
      </c>
      <c r="N549" s="304">
        <f t="shared" ca="1" si="249"/>
        <v>-86.317535736296335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4.0843000000000034</v>
      </c>
      <c r="T549" s="304">
        <f t="shared" ca="1" si="233"/>
        <v>40.066983000000036</v>
      </c>
      <c r="U549" s="311">
        <f t="shared" ca="1" si="234"/>
        <v>0</v>
      </c>
      <c r="V549" s="306">
        <f t="shared" ca="1" si="235"/>
        <v>1.2258455429986372</v>
      </c>
      <c r="W549" s="304">
        <f t="shared" ca="1" si="236"/>
        <v>33.402976575180169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 t="e">
        <f t="shared" ca="1" si="237"/>
        <v>#N/A</v>
      </c>
      <c r="AG549" s="306">
        <f t="shared" ca="1" si="259"/>
        <v>1.611390976004957</v>
      </c>
      <c r="AH549" s="304">
        <f t="shared" ca="1" si="260"/>
        <v>-8.178354242741019</v>
      </c>
    </row>
    <row r="550" spans="1:34" x14ac:dyDescent="0.2">
      <c r="A550" s="347">
        <f t="shared" ca="1" si="238"/>
        <v>1E-4</v>
      </c>
      <c r="B550" s="304">
        <f t="shared" ca="1" si="239"/>
        <v>41.601600000000346</v>
      </c>
      <c r="D550" s="306">
        <f t="shared" ca="1" si="240"/>
        <v>-0.52527218778276874</v>
      </c>
      <c r="E550" s="307">
        <f t="shared" ca="1" si="241"/>
        <v>-1.6485010439532068</v>
      </c>
      <c r="F550" s="304">
        <f t="shared" ca="1" si="242"/>
        <v>1.7301637388330937</v>
      </c>
      <c r="G550" s="306">
        <f t="shared" ca="1" si="243"/>
        <v>8.7732382649372944</v>
      </c>
      <c r="H550" s="307">
        <f t="shared" ca="1" si="244"/>
        <v>-136.31654577924067</v>
      </c>
      <c r="I550" s="304">
        <f t="shared" ca="1" si="245"/>
        <v>136.59857379503336</v>
      </c>
      <c r="J550" s="306">
        <f t="shared" ca="1" si="246"/>
        <v>712.18513894933824</v>
      </c>
      <c r="K550" s="307">
        <f t="shared" ca="1" si="247"/>
        <v>-6.9136421431411872</v>
      </c>
      <c r="L550" s="304">
        <f t="shared" ca="1" si="232"/>
        <v>712.21869575852304</v>
      </c>
      <c r="M550" s="306">
        <f t="shared" ca="1" si="248"/>
        <v>-1.5065256620597809</v>
      </c>
      <c r="N550" s="304">
        <f t="shared" ca="1" si="249"/>
        <v>-86.317562164177573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4.0843000000000034</v>
      </c>
      <c r="T550" s="304">
        <f t="shared" ca="1" si="233"/>
        <v>40.066983000000036</v>
      </c>
      <c r="U550" s="311">
        <f t="shared" ca="1" si="234"/>
        <v>0</v>
      </c>
      <c r="V550" s="306">
        <f t="shared" ca="1" si="235"/>
        <v>1.2258472140292656</v>
      </c>
      <c r="W550" s="304">
        <f t="shared" ca="1" si="236"/>
        <v>33.403100915683424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 t="e">
        <f t="shared" ca="1" si="237"/>
        <v>#N/A</v>
      </c>
      <c r="AG550" s="306">
        <f t="shared" ca="1" si="259"/>
        <v>1.6113608228430163</v>
      </c>
      <c r="AH550" s="304">
        <f t="shared" ca="1" si="260"/>
        <v>-8.1783846865264902</v>
      </c>
    </row>
    <row r="551" spans="1:34" x14ac:dyDescent="0.2">
      <c r="A551" s="347">
        <f t="shared" ca="1" si="238"/>
        <v>1E-4</v>
      </c>
      <c r="B551" s="304">
        <f t="shared" ca="1" si="239"/>
        <v>41.601700000000349</v>
      </c>
      <c r="D551" s="306">
        <f t="shared" ca="1" si="240"/>
        <v>-0.52527037854145475</v>
      </c>
      <c r="E551" s="307">
        <f t="shared" ca="1" si="241"/>
        <v>-1.6484704209971461</v>
      </c>
      <c r="F551" s="304">
        <f t="shared" ca="1" si="242"/>
        <v>1.7301340119989523</v>
      </c>
      <c r="G551" s="306">
        <f t="shared" ca="1" si="243"/>
        <v>8.7731857378994409</v>
      </c>
      <c r="H551" s="307">
        <f t="shared" ca="1" si="244"/>
        <v>-136.31671062628277</v>
      </c>
      <c r="I551" s="304">
        <f t="shared" ca="1" si="245"/>
        <v>136.59873492811491</v>
      </c>
      <c r="J551" s="306">
        <f t="shared" ca="1" si="246"/>
        <v>712.18513894933824</v>
      </c>
      <c r="K551" s="307">
        <f t="shared" ca="1" si="247"/>
        <v>-6.9272738059614634</v>
      </c>
      <c r="L551" s="304">
        <f t="shared" ca="1" si="232"/>
        <v>712.21882821410372</v>
      </c>
      <c r="M551" s="306">
        <f t="shared" ca="1" si="248"/>
        <v>-1.5065261233094729</v>
      </c>
      <c r="N551" s="304">
        <f t="shared" ca="1" si="249"/>
        <v>-86.317588591838231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4.0843000000000034</v>
      </c>
      <c r="T551" s="304">
        <f t="shared" ca="1" si="233"/>
        <v>40.066983000000036</v>
      </c>
      <c r="U551" s="311">
        <f t="shared" ca="1" si="234"/>
        <v>0</v>
      </c>
      <c r="V551" s="306">
        <f t="shared" ca="1" si="235"/>
        <v>1.225848885064194</v>
      </c>
      <c r="W551" s="304">
        <f t="shared" ca="1" si="236"/>
        <v>33.403225255136995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 t="e">
        <f t="shared" ca="1" si="237"/>
        <v>#N/A</v>
      </c>
      <c r="AG551" s="306">
        <f t="shared" ca="1" si="259"/>
        <v>1.6113306699335883</v>
      </c>
      <c r="AH551" s="304">
        <f t="shared" ca="1" si="260"/>
        <v>-8.1784151300549421</v>
      </c>
    </row>
    <row r="552" spans="1:34" x14ac:dyDescent="0.2">
      <c r="A552" s="347">
        <f t="shared" ca="1" si="238"/>
        <v>1E-4</v>
      </c>
      <c r="B552" s="304">
        <f t="shared" ca="1" si="239"/>
        <v>41.601800000000352</v>
      </c>
      <c r="D552" s="306">
        <f t="shared" ca="1" si="240"/>
        <v>-0.52526856928691856</v>
      </c>
      <c r="E552" s="307">
        <f t="shared" ca="1" si="241"/>
        <v>-1.6484397982995151</v>
      </c>
      <c r="F552" s="304">
        <f t="shared" ca="1" si="242"/>
        <v>1.7301042854401789</v>
      </c>
      <c r="G552" s="306">
        <f t="shared" ca="1" si="243"/>
        <v>8.7731332110425129</v>
      </c>
      <c r="H552" s="307">
        <f t="shared" ca="1" si="244"/>
        <v>-136.3168754702626</v>
      </c>
      <c r="I552" s="304">
        <f t="shared" ca="1" si="245"/>
        <v>136.59889605818117</v>
      </c>
      <c r="J552" s="306">
        <f t="shared" ca="1" si="246"/>
        <v>712.18513894933824</v>
      </c>
      <c r="K552" s="307">
        <f t="shared" ca="1" si="247"/>
        <v>-6.940905485266291</v>
      </c>
      <c r="L552" s="304">
        <f t="shared" ca="1" si="232"/>
        <v>712.21896093072644</v>
      </c>
      <c r="M552" s="306">
        <f t="shared" ca="1" si="248"/>
        <v>-1.5065265845553153</v>
      </c>
      <c r="N552" s="304">
        <f t="shared" ca="1" si="249"/>
        <v>-86.317615019278321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4.0843000000000034</v>
      </c>
      <c r="T552" s="304">
        <f t="shared" ca="1" si="233"/>
        <v>40.066983000000036</v>
      </c>
      <c r="U552" s="311">
        <f t="shared" ca="1" si="234"/>
        <v>0</v>
      </c>
      <c r="V552" s="306">
        <f t="shared" ca="1" si="235"/>
        <v>1.2258505561034214</v>
      </c>
      <c r="W552" s="304">
        <f t="shared" ca="1" si="236"/>
        <v>33.403349593540817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 t="e">
        <f t="shared" ca="1" si="237"/>
        <v>#N/A</v>
      </c>
      <c r="AG552" s="306">
        <f t="shared" ca="1" si="259"/>
        <v>1.6113005172766517</v>
      </c>
      <c r="AH552" s="304">
        <f t="shared" ca="1" si="260"/>
        <v>-8.178445573326389</v>
      </c>
    </row>
    <row r="553" spans="1:34" x14ac:dyDescent="0.2">
      <c r="A553" s="347">
        <f t="shared" ca="1" si="238"/>
        <v>1E-4</v>
      </c>
      <c r="B553" s="304">
        <f t="shared" ca="1" si="239"/>
        <v>41.601900000000356</v>
      </c>
      <c r="D553" s="306">
        <f t="shared" ca="1" si="240"/>
        <v>-0.52526676001915606</v>
      </c>
      <c r="E553" s="307">
        <f t="shared" ca="1" si="241"/>
        <v>-1.6484091758603281</v>
      </c>
      <c r="F553" s="304">
        <f t="shared" ca="1" si="242"/>
        <v>1.7300745591567861</v>
      </c>
      <c r="G553" s="306">
        <f t="shared" ca="1" si="243"/>
        <v>8.7730806843665103</v>
      </c>
      <c r="H553" s="307">
        <f t="shared" ca="1" si="244"/>
        <v>-136.31704031118019</v>
      </c>
      <c r="I553" s="304">
        <f t="shared" ca="1" si="245"/>
        <v>136.5990571852322</v>
      </c>
      <c r="J553" s="306">
        <f t="shared" ca="1" si="246"/>
        <v>712.18513894933824</v>
      </c>
      <c r="K553" s="307">
        <f t="shared" ca="1" si="247"/>
        <v>-6.9545371810553629</v>
      </c>
      <c r="L553" s="304">
        <f t="shared" ca="1" si="232"/>
        <v>712.21909390839198</v>
      </c>
      <c r="M553" s="306">
        <f t="shared" ca="1" si="248"/>
        <v>-1.5065270457973079</v>
      </c>
      <c r="N553" s="304">
        <f t="shared" ca="1" si="249"/>
        <v>-86.317641446497831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4.0843000000000034</v>
      </c>
      <c r="T553" s="304">
        <f t="shared" ca="1" si="233"/>
        <v>40.066983000000036</v>
      </c>
      <c r="U553" s="311">
        <f t="shared" ca="1" si="234"/>
        <v>0</v>
      </c>
      <c r="V553" s="306">
        <f t="shared" ca="1" si="235"/>
        <v>1.2258522271469485</v>
      </c>
      <c r="W553" s="304">
        <f t="shared" ca="1" si="236"/>
        <v>33.403473930894947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 t="e">
        <f t="shared" ca="1" si="237"/>
        <v>#N/A</v>
      </c>
      <c r="AG553" s="306">
        <f t="shared" ca="1" si="259"/>
        <v>1.6112703648722331</v>
      </c>
      <c r="AH553" s="304">
        <f t="shared" ca="1" si="260"/>
        <v>-8.1784760163408148</v>
      </c>
    </row>
    <row r="554" spans="1:34" x14ac:dyDescent="0.2">
      <c r="A554" s="347">
        <f t="shared" ca="1" si="238"/>
        <v>1E-4</v>
      </c>
      <c r="B554" s="304">
        <f t="shared" ca="1" si="239"/>
        <v>41.602000000000359</v>
      </c>
      <c r="D554" s="306">
        <f t="shared" ca="1" si="240"/>
        <v>-0.52526495073817092</v>
      </c>
      <c r="E554" s="307">
        <f t="shared" ca="1" si="241"/>
        <v>-1.6483785536795725</v>
      </c>
      <c r="F554" s="304">
        <f t="shared" ca="1" si="242"/>
        <v>1.7300448331487635</v>
      </c>
      <c r="G554" s="306">
        <f t="shared" ca="1" si="243"/>
        <v>8.7730281578714369</v>
      </c>
      <c r="H554" s="307">
        <f t="shared" ca="1" si="244"/>
        <v>-136.31720514903557</v>
      </c>
      <c r="I554" s="304">
        <f t="shared" ca="1" si="245"/>
        <v>136.599218309268</v>
      </c>
      <c r="J554" s="306">
        <f t="shared" ca="1" si="246"/>
        <v>712.18513894933824</v>
      </c>
      <c r="K554" s="307">
        <f t="shared" ca="1" si="247"/>
        <v>-6.9681688933283734</v>
      </c>
      <c r="L554" s="304">
        <f t="shared" ca="1" si="232"/>
        <v>712.21922714710126</v>
      </c>
      <c r="M554" s="306">
        <f t="shared" ca="1" si="248"/>
        <v>-1.5065275070354509</v>
      </c>
      <c r="N554" s="304">
        <f t="shared" ca="1" si="249"/>
        <v>-86.317667873496774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4.0843000000000034</v>
      </c>
      <c r="T554" s="304">
        <f t="shared" ca="1" si="233"/>
        <v>40.066983000000036</v>
      </c>
      <c r="U554" s="311">
        <f t="shared" ca="1" si="234"/>
        <v>0</v>
      </c>
      <c r="V554" s="306">
        <f t="shared" ca="1" si="235"/>
        <v>1.2258538981947746</v>
      </c>
      <c r="W554" s="304">
        <f t="shared" ca="1" si="236"/>
        <v>33.403598267199342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 t="e">
        <f t="shared" ca="1" si="257"/>
        <v>#N/A</v>
      </c>
      <c r="AD554" s="323" t="e">
        <f t="shared" ca="1" si="258"/>
        <v>#N/A</v>
      </c>
      <c r="AE554" s="324" t="e">
        <f t="shared" ca="1" si="237"/>
        <v>#N/A</v>
      </c>
      <c r="AG554" s="306">
        <f t="shared" ca="1" si="259"/>
        <v>1.6112402127203111</v>
      </c>
      <c r="AH554" s="304">
        <f t="shared" ca="1" si="260"/>
        <v>-8.1785064590982337</v>
      </c>
    </row>
    <row r="555" spans="1:34" x14ac:dyDescent="0.2">
      <c r="A555" s="347">
        <f t="shared" ca="1" si="238"/>
        <v>1E-4</v>
      </c>
      <c r="B555" s="304">
        <f t="shared" ca="1" si="239"/>
        <v>41.602100000000362</v>
      </c>
      <c r="D555" s="306">
        <f t="shared" ca="1" si="240"/>
        <v>-0.52526314144396113</v>
      </c>
      <c r="E555" s="307">
        <f t="shared" ca="1" si="241"/>
        <v>-1.6483479317572574</v>
      </c>
      <c r="F555" s="304">
        <f t="shared" ca="1" si="242"/>
        <v>1.7300151074161194</v>
      </c>
      <c r="G555" s="306">
        <f t="shared" ca="1" si="243"/>
        <v>8.7729756315572924</v>
      </c>
      <c r="H555" s="307">
        <f t="shared" ca="1" si="244"/>
        <v>-136.31736998382874</v>
      </c>
      <c r="I555" s="304">
        <f t="shared" ca="1" si="245"/>
        <v>136.59937943028859</v>
      </c>
      <c r="J555" s="306">
        <f t="shared" ca="1" si="246"/>
        <v>712.18513894933824</v>
      </c>
      <c r="K555" s="307">
        <f t="shared" ca="1" si="247"/>
        <v>-6.9818006220850171</v>
      </c>
      <c r="L555" s="304">
        <f t="shared" ca="1" si="232"/>
        <v>712.21936064685497</v>
      </c>
      <c r="M555" s="306">
        <f t="shared" ca="1" si="248"/>
        <v>-1.5065279682697443</v>
      </c>
      <c r="N555" s="304">
        <f t="shared" ca="1" si="249"/>
        <v>-86.31769430027515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4.0843000000000034</v>
      </c>
      <c r="T555" s="304">
        <f t="shared" ca="1" si="233"/>
        <v>40.066983000000036</v>
      </c>
      <c r="U555" s="311">
        <f t="shared" ca="1" si="234"/>
        <v>0</v>
      </c>
      <c r="V555" s="306">
        <f t="shared" ca="1" si="235"/>
        <v>1.2258555692469006</v>
      </c>
      <c r="W555" s="304">
        <f t="shared" ca="1" si="236"/>
        <v>33.403722602454032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 t="e">
        <f t="shared" ca="1" si="237"/>
        <v>#N/A</v>
      </c>
      <c r="AG555" s="306">
        <f t="shared" ca="1" si="259"/>
        <v>1.6112100608208966</v>
      </c>
      <c r="AH555" s="304">
        <f t="shared" ca="1" si="260"/>
        <v>-8.1785369015986369</v>
      </c>
    </row>
    <row r="556" spans="1:34" x14ac:dyDescent="0.2">
      <c r="A556" s="347">
        <f t="shared" ca="1" si="238"/>
        <v>1E-4</v>
      </c>
      <c r="B556" s="304">
        <f t="shared" ca="1" si="239"/>
        <v>41.602200000000366</v>
      </c>
      <c r="D556" s="306">
        <f t="shared" ca="1" si="240"/>
        <v>-0.52526133213652804</v>
      </c>
      <c r="E556" s="307">
        <f t="shared" ca="1" si="241"/>
        <v>-1.6483173100933772</v>
      </c>
      <c r="F556" s="304">
        <f t="shared" ca="1" si="242"/>
        <v>1.7299853819588495</v>
      </c>
      <c r="G556" s="306">
        <f t="shared" ca="1" si="243"/>
        <v>8.7729231054240788</v>
      </c>
      <c r="H556" s="307">
        <f t="shared" ca="1" si="244"/>
        <v>-136.31753481555975</v>
      </c>
      <c r="I556" s="304">
        <f t="shared" ca="1" si="245"/>
        <v>136.59954054829404</v>
      </c>
      <c r="J556" s="306">
        <f t="shared" ca="1" si="246"/>
        <v>712.18513894933824</v>
      </c>
      <c r="K556" s="307">
        <f t="shared" ca="1" si="247"/>
        <v>-6.9954323673249865</v>
      </c>
      <c r="L556" s="304">
        <f t="shared" ca="1" si="232"/>
        <v>712.21949440765377</v>
      </c>
      <c r="M556" s="306">
        <f t="shared" ca="1" si="248"/>
        <v>-1.5065284295001882</v>
      </c>
      <c r="N556" s="304">
        <f t="shared" ca="1" si="249"/>
        <v>-86.317720726832974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4.0843000000000034</v>
      </c>
      <c r="T556" s="304">
        <f t="shared" ca="1" si="233"/>
        <v>40.066983000000036</v>
      </c>
      <c r="U556" s="311">
        <f t="shared" ca="1" si="234"/>
        <v>0</v>
      </c>
      <c r="V556" s="306">
        <f t="shared" ca="1" si="235"/>
        <v>1.2258572403033259</v>
      </c>
      <c r="W556" s="304">
        <f t="shared" ca="1" si="236"/>
        <v>33.403846936659022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 t="e">
        <f t="shared" ca="1" si="237"/>
        <v>#N/A</v>
      </c>
      <c r="AG556" s="306">
        <f t="shared" ca="1" si="259"/>
        <v>1.611179909173984</v>
      </c>
      <c r="AH556" s="304">
        <f t="shared" ca="1" si="260"/>
        <v>-8.1785673438420297</v>
      </c>
    </row>
    <row r="557" spans="1:34" x14ac:dyDescent="0.2">
      <c r="A557" s="347">
        <f t="shared" ca="1" si="238"/>
        <v>1E-4</v>
      </c>
      <c r="B557" s="304">
        <f t="shared" ca="1" si="239"/>
        <v>41.602300000000369</v>
      </c>
      <c r="D557" s="306">
        <f t="shared" ca="1" si="240"/>
        <v>-0.5252595228158724</v>
      </c>
      <c r="E557" s="307">
        <f t="shared" ca="1" si="241"/>
        <v>-1.6482866886879268</v>
      </c>
      <c r="F557" s="304">
        <f t="shared" ca="1" si="242"/>
        <v>1.7299556567769501</v>
      </c>
      <c r="G557" s="306">
        <f t="shared" ca="1" si="243"/>
        <v>8.7728705794717978</v>
      </c>
      <c r="H557" s="307">
        <f t="shared" ca="1" si="244"/>
        <v>-136.31769964422861</v>
      </c>
      <c r="I557" s="304">
        <f t="shared" ca="1" si="245"/>
        <v>136.59970166328435</v>
      </c>
      <c r="J557" s="306">
        <f t="shared" ca="1" si="246"/>
        <v>712.18513894933824</v>
      </c>
      <c r="K557" s="307">
        <f t="shared" ca="1" si="247"/>
        <v>-7.0090641290479763</v>
      </c>
      <c r="L557" s="304">
        <f t="shared" ca="1" si="232"/>
        <v>712.21962842949881</v>
      </c>
      <c r="M557" s="306">
        <f t="shared" ca="1" si="248"/>
        <v>-1.5065288907267824</v>
      </c>
      <c r="N557" s="304">
        <f t="shared" ca="1" si="249"/>
        <v>-86.317747153170217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4.0843000000000034</v>
      </c>
      <c r="T557" s="304">
        <f t="shared" ca="1" si="233"/>
        <v>40.066983000000036</v>
      </c>
      <c r="U557" s="311">
        <f t="shared" ca="1" si="234"/>
        <v>0</v>
      </c>
      <c r="V557" s="306">
        <f t="shared" ca="1" si="235"/>
        <v>1.2258589113640501</v>
      </c>
      <c r="W557" s="304">
        <f t="shared" ca="1" si="236"/>
        <v>33.403971269814285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 t="e">
        <f t="shared" ca="1" si="237"/>
        <v>#N/A</v>
      </c>
      <c r="AG557" s="306">
        <f t="shared" ca="1" si="259"/>
        <v>1.6111497577795717</v>
      </c>
      <c r="AH557" s="304">
        <f t="shared" ca="1" si="260"/>
        <v>-8.1785977858284156</v>
      </c>
    </row>
    <row r="558" spans="1:34" x14ac:dyDescent="0.2">
      <c r="A558" s="347">
        <f t="shared" ca="1" si="238"/>
        <v>1E-4</v>
      </c>
      <c r="B558" s="304">
        <f t="shared" ca="1" si="239"/>
        <v>41.602400000000372</v>
      </c>
      <c r="D558" s="306">
        <f t="shared" ca="1" si="240"/>
        <v>-0.52525771348199446</v>
      </c>
      <c r="E558" s="307">
        <f t="shared" ca="1" si="241"/>
        <v>-1.6482560675409186</v>
      </c>
      <c r="F558" s="304">
        <f t="shared" ca="1" si="242"/>
        <v>1.7299259318704332</v>
      </c>
      <c r="G558" s="306">
        <f t="shared" ca="1" si="243"/>
        <v>8.7728180537004494</v>
      </c>
      <c r="H558" s="307">
        <f t="shared" ca="1" si="244"/>
        <v>-136.31786446983537</v>
      </c>
      <c r="I558" s="304">
        <f t="shared" ca="1" si="245"/>
        <v>136.59986277525954</v>
      </c>
      <c r="J558" s="306">
        <f t="shared" ca="1" si="246"/>
        <v>712.18513894933824</v>
      </c>
      <c r="K558" s="307">
        <f t="shared" ca="1" si="247"/>
        <v>-7.0226959072536799</v>
      </c>
      <c r="L558" s="304">
        <f t="shared" ca="1" si="232"/>
        <v>712.21976271239066</v>
      </c>
      <c r="M558" s="306">
        <f t="shared" ca="1" si="248"/>
        <v>-1.5065293519495273</v>
      </c>
      <c r="N558" s="304">
        <f t="shared" ca="1" si="249"/>
        <v>-86.317773579286921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4.0843000000000034</v>
      </c>
      <c r="T558" s="304">
        <f t="shared" ca="1" si="233"/>
        <v>40.066983000000036</v>
      </c>
      <c r="U558" s="311">
        <f t="shared" ca="1" si="234"/>
        <v>0</v>
      </c>
      <c r="V558" s="306">
        <f t="shared" ca="1" si="235"/>
        <v>1.2258605824290738</v>
      </c>
      <c r="W558" s="304">
        <f t="shared" ca="1" si="236"/>
        <v>33.404095601919849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 t="e">
        <f t="shared" ca="1" si="237"/>
        <v>#N/A</v>
      </c>
      <c r="AG558" s="306">
        <f t="shared" ca="1" si="259"/>
        <v>1.6111196066376667</v>
      </c>
      <c r="AH558" s="304">
        <f t="shared" ca="1" si="260"/>
        <v>-8.178628227557784</v>
      </c>
    </row>
    <row r="559" spans="1:34" x14ac:dyDescent="0.2">
      <c r="A559" s="347">
        <f t="shared" ca="1" si="238"/>
        <v>1E-4</v>
      </c>
      <c r="B559" s="304">
        <f t="shared" ca="1" si="239"/>
        <v>41.602500000000376</v>
      </c>
      <c r="D559" s="306">
        <f t="shared" ca="1" si="240"/>
        <v>-0.52525590413489354</v>
      </c>
      <c r="E559" s="307">
        <f t="shared" ca="1" si="241"/>
        <v>-1.6482254466523418</v>
      </c>
      <c r="F559" s="304">
        <f t="shared" ca="1" si="242"/>
        <v>1.7298962072392887</v>
      </c>
      <c r="G559" s="306">
        <f t="shared" ca="1" si="243"/>
        <v>8.7727655281100354</v>
      </c>
      <c r="H559" s="307">
        <f t="shared" ca="1" si="244"/>
        <v>-136.31802929238003</v>
      </c>
      <c r="I559" s="304">
        <f t="shared" ca="1" si="245"/>
        <v>136.60002388421964</v>
      </c>
      <c r="J559" s="306">
        <f t="shared" ca="1" si="246"/>
        <v>712.18513894933824</v>
      </c>
      <c r="K559" s="307">
        <f t="shared" ca="1" si="247"/>
        <v>-7.0363277019417909</v>
      </c>
      <c r="L559" s="304">
        <f t="shared" ca="1" si="232"/>
        <v>712.21989725633</v>
      </c>
      <c r="M559" s="306">
        <f t="shared" ca="1" si="248"/>
        <v>-1.5065298131684226</v>
      </c>
      <c r="N559" s="304">
        <f t="shared" ca="1" si="249"/>
        <v>-86.317800005183045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4.0843000000000034</v>
      </c>
      <c r="T559" s="304">
        <f t="shared" ca="1" si="233"/>
        <v>40.066983000000036</v>
      </c>
      <c r="U559" s="311">
        <f t="shared" ca="1" si="234"/>
        <v>0</v>
      </c>
      <c r="V559" s="306">
        <f t="shared" ca="1" si="235"/>
        <v>1.2258622534983969</v>
      </c>
      <c r="W559" s="304">
        <f t="shared" ca="1" si="236"/>
        <v>33.404219932975714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 t="e">
        <f t="shared" ca="1" si="237"/>
        <v>#N/A</v>
      </c>
      <c r="AG559" s="306">
        <f t="shared" ca="1" si="259"/>
        <v>1.6110894557482638</v>
      </c>
      <c r="AH559" s="304">
        <f t="shared" ca="1" si="260"/>
        <v>-8.1786586690301455</v>
      </c>
    </row>
    <row r="560" spans="1:34" x14ac:dyDescent="0.2">
      <c r="A560" s="347">
        <f t="shared" ca="1" si="238"/>
        <v>1E-4</v>
      </c>
      <c r="B560" s="304">
        <f t="shared" ca="1" si="239"/>
        <v>41.602600000000379</v>
      </c>
      <c r="D560" s="306">
        <f t="shared" ca="1" si="240"/>
        <v>-0.52525409477457219</v>
      </c>
      <c r="E560" s="307">
        <f t="shared" ca="1" si="241"/>
        <v>-1.6481948260221966</v>
      </c>
      <c r="F560" s="304">
        <f t="shared" ca="1" si="242"/>
        <v>1.7298664828835184</v>
      </c>
      <c r="G560" s="306">
        <f t="shared" ca="1" si="243"/>
        <v>8.7727130027005575</v>
      </c>
      <c r="H560" s="307">
        <f t="shared" ca="1" si="244"/>
        <v>-136.31819411186262</v>
      </c>
      <c r="I560" s="304">
        <f t="shared" ca="1" si="245"/>
        <v>136.60018499016468</v>
      </c>
      <c r="J560" s="306">
        <f t="shared" ca="1" si="246"/>
        <v>712.18513894933824</v>
      </c>
      <c r="K560" s="307">
        <f t="shared" ca="1" si="247"/>
        <v>-7.049959513112003</v>
      </c>
      <c r="L560" s="304">
        <f t="shared" ca="1" si="232"/>
        <v>712.22003206131797</v>
      </c>
      <c r="M560" s="306">
        <f t="shared" ca="1" si="248"/>
        <v>-1.5065302743834688</v>
      </c>
      <c r="N560" s="304">
        <f t="shared" ca="1" si="249"/>
        <v>-86.317826430858645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4.0843000000000034</v>
      </c>
      <c r="T560" s="304">
        <f t="shared" ca="1" si="233"/>
        <v>40.066983000000036</v>
      </c>
      <c r="U560" s="311">
        <f t="shared" ca="1" si="234"/>
        <v>0</v>
      </c>
      <c r="V560" s="306">
        <f t="shared" ca="1" si="235"/>
        <v>1.2258639245720189</v>
      </c>
      <c r="W560" s="304">
        <f t="shared" ca="1" si="236"/>
        <v>33.404344262981859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 t="e">
        <f t="shared" ca="1" si="237"/>
        <v>#N/A</v>
      </c>
      <c r="AG560" s="306">
        <f t="shared" ca="1" si="259"/>
        <v>1.6110593051113593</v>
      </c>
      <c r="AH560" s="304">
        <f t="shared" ca="1" si="260"/>
        <v>-8.1786891102454984</v>
      </c>
    </row>
    <row r="561" spans="1:34" x14ac:dyDescent="0.2">
      <c r="A561" s="347">
        <f t="shared" ca="1" si="238"/>
        <v>1E-4</v>
      </c>
      <c r="B561" s="304">
        <f t="shared" ca="1" si="239"/>
        <v>41.602700000000382</v>
      </c>
      <c r="D561" s="306">
        <f t="shared" ca="1" si="240"/>
        <v>-0.52525228540102709</v>
      </c>
      <c r="E561" s="307">
        <f t="shared" ca="1" si="241"/>
        <v>-1.6481642056504899</v>
      </c>
      <c r="F561" s="304">
        <f t="shared" ca="1" si="242"/>
        <v>1.7298367588031285</v>
      </c>
      <c r="G561" s="306">
        <f t="shared" ca="1" si="243"/>
        <v>8.7726604774720176</v>
      </c>
      <c r="H561" s="307">
        <f t="shared" ca="1" si="244"/>
        <v>-136.3183589282832</v>
      </c>
      <c r="I561" s="304">
        <f t="shared" ca="1" si="245"/>
        <v>136.60034609309469</v>
      </c>
      <c r="J561" s="306">
        <f t="shared" ca="1" si="246"/>
        <v>712.18513894933824</v>
      </c>
      <c r="K561" s="307">
        <f t="shared" ca="1" si="247"/>
        <v>-7.0635913407640105</v>
      </c>
      <c r="L561" s="304">
        <f t="shared" ca="1" si="232"/>
        <v>712.22016712735501</v>
      </c>
      <c r="M561" s="306">
        <f t="shared" ca="1" si="248"/>
        <v>-1.5065307355946653</v>
      </c>
      <c r="N561" s="304">
        <f t="shared" ca="1" si="249"/>
        <v>-86.317852856313664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4.0843000000000034</v>
      </c>
      <c r="T561" s="304">
        <f t="shared" ca="1" si="233"/>
        <v>40.066983000000036</v>
      </c>
      <c r="U561" s="311">
        <f t="shared" ca="1" si="234"/>
        <v>0</v>
      </c>
      <c r="V561" s="306">
        <f t="shared" ca="1" si="235"/>
        <v>1.2258655956499405</v>
      </c>
      <c r="W561" s="304">
        <f t="shared" ca="1" si="236"/>
        <v>33.404468591938326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 t="e">
        <f t="shared" ca="1" si="237"/>
        <v>#N/A</v>
      </c>
      <c r="AG561" s="306">
        <f t="shared" ca="1" si="259"/>
        <v>1.611029154726964</v>
      </c>
      <c r="AH561" s="304">
        <f t="shared" ca="1" si="260"/>
        <v>-8.1787195512038373</v>
      </c>
    </row>
    <row r="562" spans="1:34" x14ac:dyDescent="0.2">
      <c r="A562" s="347">
        <f t="shared" ca="1" si="238"/>
        <v>1E-4</v>
      </c>
      <c r="B562" s="304">
        <f t="shared" ca="1" si="239"/>
        <v>41.602800000000386</v>
      </c>
      <c r="D562" s="306">
        <f t="shared" ca="1" si="240"/>
        <v>-0.52525047601426322</v>
      </c>
      <c r="E562" s="307">
        <f t="shared" ca="1" si="241"/>
        <v>-1.6481335855372112</v>
      </c>
      <c r="F562" s="304">
        <f t="shared" ca="1" si="242"/>
        <v>1.7298070349981105</v>
      </c>
      <c r="G562" s="306">
        <f t="shared" ca="1" si="243"/>
        <v>8.7726079524244156</v>
      </c>
      <c r="H562" s="307">
        <f t="shared" ca="1" si="244"/>
        <v>-136.31852374164177</v>
      </c>
      <c r="I562" s="304">
        <f t="shared" ca="1" si="245"/>
        <v>136.60050719300969</v>
      </c>
      <c r="J562" s="306">
        <f t="shared" ca="1" si="246"/>
        <v>712.18513894933824</v>
      </c>
      <c r="K562" s="307">
        <f t="shared" ca="1" si="247"/>
        <v>-7.0772231848975071</v>
      </c>
      <c r="L562" s="304">
        <f t="shared" ca="1" si="232"/>
        <v>712.22030245444216</v>
      </c>
      <c r="M562" s="306">
        <f t="shared" ca="1" si="248"/>
        <v>-1.5065311968020128</v>
      </c>
      <c r="N562" s="304">
        <f t="shared" ca="1" si="249"/>
        <v>-86.317879281548159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4.0843000000000034</v>
      </c>
      <c r="T562" s="304">
        <f t="shared" ca="1" si="233"/>
        <v>40.066983000000036</v>
      </c>
      <c r="U562" s="311">
        <f t="shared" ca="1" si="234"/>
        <v>0</v>
      </c>
      <c r="V562" s="306">
        <f t="shared" ca="1" si="235"/>
        <v>1.2258672667321611</v>
      </c>
      <c r="W562" s="304">
        <f t="shared" ca="1" si="236"/>
        <v>33.404592919845086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 t="e">
        <f t="shared" ca="1" si="237"/>
        <v>#N/A</v>
      </c>
      <c r="AG562" s="306">
        <f t="shared" ca="1" si="259"/>
        <v>1.61099900459506</v>
      </c>
      <c r="AH562" s="304">
        <f t="shared" ca="1" si="260"/>
        <v>-8.1787499919051729</v>
      </c>
    </row>
    <row r="563" spans="1:34" x14ac:dyDescent="0.2">
      <c r="A563" s="347">
        <f t="shared" ca="1" si="238"/>
        <v>1E-4</v>
      </c>
      <c r="B563" s="304">
        <f t="shared" ca="1" si="239"/>
        <v>41.602900000000389</v>
      </c>
      <c r="D563" s="306">
        <f t="shared" ca="1" si="240"/>
        <v>-0.52524866661427738</v>
      </c>
      <c r="E563" s="307">
        <f t="shared" ca="1" si="241"/>
        <v>-1.6481029656823676</v>
      </c>
      <c r="F563" s="304">
        <f t="shared" ca="1" si="242"/>
        <v>1.7297773114684709</v>
      </c>
      <c r="G563" s="306">
        <f t="shared" ca="1" si="243"/>
        <v>8.7725554275577533</v>
      </c>
      <c r="H563" s="307">
        <f t="shared" ca="1" si="244"/>
        <v>-136.31868855193835</v>
      </c>
      <c r="I563" s="304">
        <f t="shared" ca="1" si="245"/>
        <v>136.60066828990969</v>
      </c>
      <c r="J563" s="306">
        <f t="shared" ca="1" si="246"/>
        <v>712.18513894933824</v>
      </c>
      <c r="K563" s="307">
        <f t="shared" ca="1" si="247"/>
        <v>-7.0908550455121864</v>
      </c>
      <c r="L563" s="304">
        <f t="shared" ca="1" si="232"/>
        <v>712.2204380425801</v>
      </c>
      <c r="M563" s="306">
        <f t="shared" ca="1" si="248"/>
        <v>-1.5065316580055108</v>
      </c>
      <c r="N563" s="304">
        <f t="shared" ca="1" si="249"/>
        <v>-86.317905706562087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4.0843000000000034</v>
      </c>
      <c r="T563" s="304">
        <f t="shared" ca="1" si="233"/>
        <v>40.066983000000036</v>
      </c>
      <c r="U563" s="311">
        <f t="shared" ca="1" si="234"/>
        <v>0</v>
      </c>
      <c r="V563" s="306">
        <f t="shared" ca="1" si="235"/>
        <v>1.2258689378186813</v>
      </c>
      <c r="W563" s="304">
        <f t="shared" ca="1" si="236"/>
        <v>33.404717246702155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 t="e">
        <f t="shared" ca="1" si="237"/>
        <v>#N/A</v>
      </c>
      <c r="AG563" s="306">
        <f t="shared" ca="1" si="259"/>
        <v>1.6109688547156633</v>
      </c>
      <c r="AH563" s="304">
        <f t="shared" ca="1" si="260"/>
        <v>-8.1787804323494981</v>
      </c>
    </row>
    <row r="564" spans="1:34" x14ac:dyDescent="0.2">
      <c r="A564" s="347">
        <f t="shared" ca="1" si="238"/>
        <v>1E-4</v>
      </c>
      <c r="B564" s="304">
        <f t="shared" ca="1" si="239"/>
        <v>41.603000000000392</v>
      </c>
      <c r="D564" s="306">
        <f t="shared" ca="1" si="240"/>
        <v>-0.52524685720107223</v>
      </c>
      <c r="E564" s="307">
        <f t="shared" ca="1" si="241"/>
        <v>-1.6480723460859519</v>
      </c>
      <c r="F564" s="304">
        <f t="shared" ca="1" si="242"/>
        <v>1.7297475882142046</v>
      </c>
      <c r="G564" s="306">
        <f t="shared" ca="1" si="243"/>
        <v>8.7725029028720325</v>
      </c>
      <c r="H564" s="307">
        <f t="shared" ca="1" si="244"/>
        <v>-136.31885335917295</v>
      </c>
      <c r="I564" s="304">
        <f t="shared" ca="1" si="245"/>
        <v>136.60082938379472</v>
      </c>
      <c r="J564" s="306">
        <f t="shared" ca="1" si="246"/>
        <v>712.18513894933824</v>
      </c>
      <c r="K564" s="307">
        <f t="shared" ca="1" si="247"/>
        <v>-7.1044869226077418</v>
      </c>
      <c r="L564" s="304">
        <f t="shared" ca="1" si="232"/>
        <v>712.22057389176973</v>
      </c>
      <c r="M564" s="306">
        <f t="shared" ca="1" si="248"/>
        <v>-1.5065321192051597</v>
      </c>
      <c r="N564" s="304">
        <f t="shared" ca="1" si="249"/>
        <v>-86.317932131355491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4.0843000000000034</v>
      </c>
      <c r="T564" s="304">
        <f t="shared" ca="1" si="233"/>
        <v>40.066983000000036</v>
      </c>
      <c r="U564" s="311">
        <f t="shared" ca="1" si="234"/>
        <v>0</v>
      </c>
      <c r="V564" s="306">
        <f t="shared" ca="1" si="235"/>
        <v>1.2258706089094999</v>
      </c>
      <c r="W564" s="304">
        <f t="shared" ca="1" si="236"/>
        <v>33.404841572509497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 t="e">
        <f t="shared" ca="1" si="257"/>
        <v>#N/A</v>
      </c>
      <c r="AD564" s="323" t="e">
        <f t="shared" ca="1" si="258"/>
        <v>#N/A</v>
      </c>
      <c r="AE564" s="324" t="e">
        <f t="shared" ca="1" si="237"/>
        <v>#N/A</v>
      </c>
      <c r="AG564" s="306">
        <f t="shared" ca="1" si="259"/>
        <v>1.6109387050887598</v>
      </c>
      <c r="AH564" s="304">
        <f t="shared" ca="1" si="260"/>
        <v>-8.1788108725368183</v>
      </c>
    </row>
    <row r="565" spans="1:34" x14ac:dyDescent="0.2">
      <c r="A565" s="347">
        <f t="shared" ca="1" si="238"/>
        <v>1E-4</v>
      </c>
      <c r="B565" s="304">
        <f t="shared" ca="1" si="239"/>
        <v>41.603100000000396</v>
      </c>
      <c r="D565" s="306">
        <f t="shared" ca="1" si="240"/>
        <v>-0.52524504777464609</v>
      </c>
      <c r="E565" s="307">
        <f t="shared" ca="1" si="241"/>
        <v>-1.6480417267479783</v>
      </c>
      <c r="F565" s="304">
        <f t="shared" ca="1" si="242"/>
        <v>1.7297178652353244</v>
      </c>
      <c r="G565" s="306">
        <f t="shared" ca="1" si="243"/>
        <v>8.7724503783672549</v>
      </c>
      <c r="H565" s="307">
        <f t="shared" ca="1" si="244"/>
        <v>-136.31901816334562</v>
      </c>
      <c r="I565" s="304">
        <f t="shared" ca="1" si="245"/>
        <v>136.60099047466483</v>
      </c>
      <c r="J565" s="306">
        <f t="shared" ca="1" si="246"/>
        <v>712.18513894933824</v>
      </c>
      <c r="K565" s="307">
        <f t="shared" ca="1" si="247"/>
        <v>-7.118118816183868</v>
      </c>
      <c r="L565" s="304">
        <f t="shared" ca="1" si="232"/>
        <v>712.22071000201163</v>
      </c>
      <c r="M565" s="306">
        <f t="shared" ca="1" si="248"/>
        <v>-1.5065325804009595</v>
      </c>
      <c r="N565" s="304">
        <f t="shared" ca="1" si="249"/>
        <v>-86.317958555928342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4.0843000000000034</v>
      </c>
      <c r="T565" s="304">
        <f t="shared" ca="1" si="233"/>
        <v>40.066983000000036</v>
      </c>
      <c r="U565" s="311">
        <f t="shared" ca="1" si="234"/>
        <v>0</v>
      </c>
      <c r="V565" s="306">
        <f t="shared" ca="1" si="235"/>
        <v>1.2258722800046182</v>
      </c>
      <c r="W565" s="304">
        <f t="shared" ca="1" si="236"/>
        <v>33.404965897267175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 t="e">
        <f t="shared" ca="1" si="237"/>
        <v>#N/A</v>
      </c>
      <c r="AG565" s="306">
        <f t="shared" ca="1" si="259"/>
        <v>1.610908555714369</v>
      </c>
      <c r="AH565" s="304">
        <f t="shared" ca="1" si="260"/>
        <v>-8.1788413124671226</v>
      </c>
    </row>
    <row r="566" spans="1:34" x14ac:dyDescent="0.2">
      <c r="A566" s="347">
        <f t="shared" ca="1" si="238"/>
        <v>1E-4</v>
      </c>
      <c r="B566" s="304">
        <f t="shared" ca="1" si="239"/>
        <v>41.603200000000399</v>
      </c>
      <c r="D566" s="306">
        <f t="shared" ca="1" si="240"/>
        <v>-0.52524323833500075</v>
      </c>
      <c r="E566" s="307">
        <f t="shared" ca="1" si="241"/>
        <v>-1.6480111076684274</v>
      </c>
      <c r="F566" s="304">
        <f t="shared" ca="1" si="242"/>
        <v>1.7296881425318136</v>
      </c>
      <c r="G566" s="306">
        <f t="shared" ca="1" si="243"/>
        <v>8.7723978540434207</v>
      </c>
      <c r="H566" s="307">
        <f t="shared" ca="1" si="244"/>
        <v>-136.31918296445639</v>
      </c>
      <c r="I566" s="304">
        <f t="shared" ca="1" si="245"/>
        <v>136.60115156252002</v>
      </c>
      <c r="J566" s="306">
        <f t="shared" ca="1" si="246"/>
        <v>712.18513894933824</v>
      </c>
      <c r="K566" s="307">
        <f t="shared" ca="1" si="247"/>
        <v>-7.1317507262402584</v>
      </c>
      <c r="L566" s="304">
        <f t="shared" ca="1" si="232"/>
        <v>712.22084637330681</v>
      </c>
      <c r="M566" s="306">
        <f t="shared" ca="1" si="248"/>
        <v>-1.5065330415929101</v>
      </c>
      <c r="N566" s="304">
        <f t="shared" ca="1" si="249"/>
        <v>-86.317984980280656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4.0843000000000034</v>
      </c>
      <c r="T566" s="304">
        <f t="shared" ca="1" si="233"/>
        <v>40.066983000000036</v>
      </c>
      <c r="U566" s="311">
        <f t="shared" ca="1" si="234"/>
        <v>0</v>
      </c>
      <c r="V566" s="306">
        <f t="shared" ca="1" si="235"/>
        <v>1.2258739511040353</v>
      </c>
      <c r="W566" s="304">
        <f t="shared" ca="1" si="236"/>
        <v>33.405090220975147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 t="e">
        <f t="shared" ca="1" si="237"/>
        <v>#N/A</v>
      </c>
      <c r="AG566" s="306">
        <f t="shared" ca="1" si="259"/>
        <v>1.6108784065924677</v>
      </c>
      <c r="AH566" s="304">
        <f t="shared" ca="1" si="260"/>
        <v>-8.1788717521404273</v>
      </c>
    </row>
    <row r="567" spans="1:34" x14ac:dyDescent="0.2">
      <c r="A567" s="347">
        <f t="shared" ca="1" si="238"/>
        <v>1E-4</v>
      </c>
      <c r="B567" s="304">
        <f t="shared" ca="1" si="239"/>
        <v>41.603300000000402</v>
      </c>
      <c r="D567" s="306">
        <f t="shared" ca="1" si="240"/>
        <v>-0.5252414288821361</v>
      </c>
      <c r="E567" s="307">
        <f t="shared" ca="1" si="241"/>
        <v>-1.6479804888473115</v>
      </c>
      <c r="F567" s="304">
        <f t="shared" ca="1" si="242"/>
        <v>1.729658420103684</v>
      </c>
      <c r="G567" s="306">
        <f t="shared" ca="1" si="243"/>
        <v>8.7723453299005332</v>
      </c>
      <c r="H567" s="307">
        <f t="shared" ca="1" si="244"/>
        <v>-136.31934776250526</v>
      </c>
      <c r="I567" s="304">
        <f t="shared" ca="1" si="245"/>
        <v>136.60131264736032</v>
      </c>
      <c r="J567" s="306">
        <f t="shared" ca="1" si="246"/>
        <v>712.18513894933824</v>
      </c>
      <c r="K567" s="307">
        <f t="shared" ca="1" si="247"/>
        <v>-7.1453826527766067</v>
      </c>
      <c r="L567" s="304">
        <f t="shared" ca="1" si="232"/>
        <v>712.22098300565597</v>
      </c>
      <c r="M567" s="306">
        <f t="shared" ca="1" si="248"/>
        <v>-1.5065335027810118</v>
      </c>
      <c r="N567" s="304">
        <f t="shared" ca="1" si="249"/>
        <v>-86.318011404412445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4.0843000000000034</v>
      </c>
      <c r="T567" s="304">
        <f t="shared" ca="1" si="233"/>
        <v>40.066983000000036</v>
      </c>
      <c r="U567" s="311">
        <f t="shared" ca="1" si="234"/>
        <v>0</v>
      </c>
      <c r="V567" s="306">
        <f t="shared" ca="1" si="235"/>
        <v>1.2258756222077518</v>
      </c>
      <c r="W567" s="304">
        <f t="shared" ca="1" si="236"/>
        <v>33.405214543633427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 t="e">
        <f t="shared" ca="1" si="237"/>
        <v>#N/A</v>
      </c>
      <c r="AG567" s="306">
        <f t="shared" ca="1" si="259"/>
        <v>1.6108482577230703</v>
      </c>
      <c r="AH567" s="304">
        <f t="shared" ca="1" si="260"/>
        <v>-8.1789021915567215</v>
      </c>
    </row>
    <row r="568" spans="1:34" x14ac:dyDescent="0.2">
      <c r="A568" s="347">
        <f t="shared" ca="1" si="238"/>
        <v>1E-4</v>
      </c>
      <c r="B568" s="304">
        <f t="shared" ca="1" si="239"/>
        <v>41.603400000000406</v>
      </c>
      <c r="D568" s="306">
        <f t="shared" ca="1" si="240"/>
        <v>-0.52523961941605146</v>
      </c>
      <c r="E568" s="307">
        <f t="shared" ca="1" si="241"/>
        <v>-1.6479498702846236</v>
      </c>
      <c r="F568" s="304">
        <f t="shared" ca="1" si="242"/>
        <v>1.7296286979509292</v>
      </c>
      <c r="G568" s="306">
        <f t="shared" ca="1" si="243"/>
        <v>8.7722928059385907</v>
      </c>
      <c r="H568" s="307">
        <f t="shared" ca="1" si="244"/>
        <v>-136.31951255749229</v>
      </c>
      <c r="I568" s="304">
        <f t="shared" ca="1" si="245"/>
        <v>136.60147372918573</v>
      </c>
      <c r="J568" s="306">
        <f t="shared" ca="1" si="246"/>
        <v>712.18513894933824</v>
      </c>
      <c r="K568" s="307">
        <f t="shared" ca="1" si="247"/>
        <v>-7.1590145957926064</v>
      </c>
      <c r="L568" s="304">
        <f t="shared" ca="1" si="232"/>
        <v>712.22111989905989</v>
      </c>
      <c r="M568" s="306">
        <f t="shared" ca="1" si="248"/>
        <v>-1.5065339639652644</v>
      </c>
      <c r="N568" s="304">
        <f t="shared" ca="1" si="249"/>
        <v>-86.318037828323696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4.0843000000000034</v>
      </c>
      <c r="T568" s="304">
        <f t="shared" ca="1" si="233"/>
        <v>40.066983000000036</v>
      </c>
      <c r="U568" s="311">
        <f t="shared" ca="1" si="234"/>
        <v>0</v>
      </c>
      <c r="V568" s="306">
        <f t="shared" ca="1" si="235"/>
        <v>1.2258772933157673</v>
      </c>
      <c r="W568" s="304">
        <f t="shared" ca="1" si="236"/>
        <v>33.405338865242008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 t="e">
        <f t="shared" ca="1" si="237"/>
        <v>#N/A</v>
      </c>
      <c r="AG568" s="306">
        <f t="shared" ca="1" si="259"/>
        <v>1.6108181091061731</v>
      </c>
      <c r="AH568" s="304">
        <f t="shared" ca="1" si="260"/>
        <v>-8.1789326307160106</v>
      </c>
    </row>
    <row r="569" spans="1:34" x14ac:dyDescent="0.2">
      <c r="A569" s="347">
        <f t="shared" ca="1" si="238"/>
        <v>1E-4</v>
      </c>
      <c r="B569" s="304">
        <f t="shared" ca="1" si="239"/>
        <v>41.603500000000409</v>
      </c>
      <c r="D569" s="306">
        <f t="shared" ca="1" si="240"/>
        <v>-0.52523780993674907</v>
      </c>
      <c r="E569" s="307">
        <f t="shared" ca="1" si="241"/>
        <v>-1.6479192519803707</v>
      </c>
      <c r="F569" s="304">
        <f t="shared" ca="1" si="242"/>
        <v>1.7295989760735571</v>
      </c>
      <c r="G569" s="306">
        <f t="shared" ca="1" si="243"/>
        <v>8.7722402821575969</v>
      </c>
      <c r="H569" s="307">
        <f t="shared" ca="1" si="244"/>
        <v>-136.31967734941747</v>
      </c>
      <c r="I569" s="304">
        <f t="shared" ca="1" si="245"/>
        <v>136.60163480799633</v>
      </c>
      <c r="J569" s="306">
        <f t="shared" ca="1" si="246"/>
        <v>712.18513894933824</v>
      </c>
      <c r="K569" s="307">
        <f t="shared" ca="1" si="247"/>
        <v>-7.1726465552879519</v>
      </c>
      <c r="L569" s="304">
        <f t="shared" ca="1" si="232"/>
        <v>712.22125705351937</v>
      </c>
      <c r="M569" s="306">
        <f t="shared" ca="1" si="248"/>
        <v>-1.506534425145668</v>
      </c>
      <c r="N569" s="304">
        <f t="shared" ca="1" si="249"/>
        <v>-86.318064252014423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4.0843000000000034</v>
      </c>
      <c r="T569" s="304">
        <f t="shared" ca="1" si="233"/>
        <v>40.066983000000036</v>
      </c>
      <c r="U569" s="311">
        <f t="shared" ca="1" si="234"/>
        <v>0</v>
      </c>
      <c r="V569" s="306">
        <f t="shared" ca="1" si="235"/>
        <v>1.2258789644280819</v>
      </c>
      <c r="W569" s="304">
        <f t="shared" ca="1" si="236"/>
        <v>33.405463185800919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 t="e">
        <f t="shared" ca="1" si="237"/>
        <v>#N/A</v>
      </c>
      <c r="AG569" s="306">
        <f t="shared" ca="1" si="259"/>
        <v>1.6107879607417761</v>
      </c>
      <c r="AH569" s="304">
        <f t="shared" ca="1" si="260"/>
        <v>-8.1789630696182893</v>
      </c>
    </row>
    <row r="570" spans="1:34" x14ac:dyDescent="0.2">
      <c r="A570" s="347">
        <f t="shared" ca="1" si="238"/>
        <v>1E-4</v>
      </c>
      <c r="B570" s="304">
        <f t="shared" ca="1" si="239"/>
        <v>41.603600000000412</v>
      </c>
      <c r="D570" s="306">
        <f t="shared" ca="1" si="240"/>
        <v>-0.52523600044422825</v>
      </c>
      <c r="E570" s="307">
        <f t="shared" ca="1" si="241"/>
        <v>-1.6478886339345422</v>
      </c>
      <c r="F570" s="304">
        <f t="shared" ca="1" si="242"/>
        <v>1.729569254471558</v>
      </c>
      <c r="G570" s="306">
        <f t="shared" ca="1" si="243"/>
        <v>8.7721877585575516</v>
      </c>
      <c r="H570" s="307">
        <f t="shared" ca="1" si="244"/>
        <v>-136.31984213828088</v>
      </c>
      <c r="I570" s="304">
        <f t="shared" ca="1" si="245"/>
        <v>136.60179588379214</v>
      </c>
      <c r="J570" s="306">
        <f t="shared" ca="1" si="246"/>
        <v>712.18513894933824</v>
      </c>
      <c r="K570" s="307">
        <f t="shared" ca="1" si="247"/>
        <v>-7.186278531262337</v>
      </c>
      <c r="L570" s="304">
        <f t="shared" ca="1" si="232"/>
        <v>712.2213944690352</v>
      </c>
      <c r="M570" s="306">
        <f t="shared" ca="1" si="248"/>
        <v>-1.5065348863222228</v>
      </c>
      <c r="N570" s="304">
        <f t="shared" ca="1" si="249"/>
        <v>-86.318090675484612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4.0843000000000034</v>
      </c>
      <c r="T570" s="304">
        <f t="shared" ca="1" si="233"/>
        <v>40.066983000000036</v>
      </c>
      <c r="U570" s="311">
        <f t="shared" ca="1" si="234"/>
        <v>0</v>
      </c>
      <c r="V570" s="306">
        <f t="shared" ca="1" si="235"/>
        <v>1.2258806355446952</v>
      </c>
      <c r="W570" s="304">
        <f t="shared" ca="1" si="236"/>
        <v>33.40558750531013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 t="e">
        <f t="shared" ca="1" si="237"/>
        <v>#N/A</v>
      </c>
      <c r="AG570" s="306">
        <f t="shared" ca="1" si="259"/>
        <v>1.6107578126298741</v>
      </c>
      <c r="AH570" s="304">
        <f t="shared" ca="1" si="260"/>
        <v>-8.1789935082635683</v>
      </c>
    </row>
    <row r="571" spans="1:34" x14ac:dyDescent="0.2">
      <c r="A571" s="347">
        <f t="shared" ca="1" si="238"/>
        <v>1E-4</v>
      </c>
      <c r="B571" s="304">
        <f t="shared" ca="1" si="239"/>
        <v>41.603700000000416</v>
      </c>
      <c r="D571" s="306">
        <f t="shared" ca="1" si="240"/>
        <v>-0.52523419093848944</v>
      </c>
      <c r="E571" s="307">
        <f t="shared" ca="1" si="241"/>
        <v>-1.647858016147147</v>
      </c>
      <c r="F571" s="304">
        <f t="shared" ca="1" si="242"/>
        <v>1.729539533144941</v>
      </c>
      <c r="G571" s="306">
        <f t="shared" ca="1" si="243"/>
        <v>8.7721352351384585</v>
      </c>
      <c r="H571" s="307">
        <f t="shared" ca="1" si="244"/>
        <v>-136.32000692408249</v>
      </c>
      <c r="I571" s="304">
        <f t="shared" ca="1" si="245"/>
        <v>136.60195695657313</v>
      </c>
      <c r="J571" s="306">
        <f t="shared" ca="1" si="246"/>
        <v>712.18513894933824</v>
      </c>
      <c r="K571" s="307">
        <f t="shared" ca="1" si="247"/>
        <v>-7.199910523715455</v>
      </c>
      <c r="L571" s="304">
        <f t="shared" ca="1" si="232"/>
        <v>712.22153214560831</v>
      </c>
      <c r="M571" s="306">
        <f t="shared" ca="1" si="248"/>
        <v>-1.5065353474949286</v>
      </c>
      <c r="N571" s="304">
        <f t="shared" ca="1" si="249"/>
        <v>-86.318117098734291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4.0843000000000034</v>
      </c>
      <c r="T571" s="304">
        <f t="shared" ca="1" si="233"/>
        <v>40.066983000000036</v>
      </c>
      <c r="U571" s="311">
        <f t="shared" ca="1" si="234"/>
        <v>0</v>
      </c>
      <c r="V571" s="306">
        <f t="shared" ca="1" si="235"/>
        <v>1.2258823066656077</v>
      </c>
      <c r="W571" s="304">
        <f t="shared" ca="1" si="236"/>
        <v>33.405711823769664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 t="e">
        <f t="shared" ca="1" si="237"/>
        <v>#N/A</v>
      </c>
      <c r="AG571" s="306">
        <f t="shared" ca="1" si="259"/>
        <v>1.6107276647704722</v>
      </c>
      <c r="AH571" s="304">
        <f t="shared" ca="1" si="260"/>
        <v>-8.1790239466518386</v>
      </c>
    </row>
    <row r="572" spans="1:34" x14ac:dyDescent="0.2">
      <c r="A572" s="347">
        <f t="shared" ca="1" si="238"/>
        <v>1E-4</v>
      </c>
      <c r="B572" s="304">
        <f t="shared" ca="1" si="239"/>
        <v>41.603800000000419</v>
      </c>
      <c r="D572" s="306">
        <f t="shared" ca="1" si="240"/>
        <v>-0.52523238141953354</v>
      </c>
      <c r="E572" s="307">
        <f t="shared" ca="1" si="241"/>
        <v>-1.647827398618178</v>
      </c>
      <c r="F572" s="304">
        <f t="shared" ca="1" si="242"/>
        <v>1.7295098120937002</v>
      </c>
      <c r="G572" s="306">
        <f t="shared" ca="1" si="243"/>
        <v>8.7720827119003157</v>
      </c>
      <c r="H572" s="307">
        <f t="shared" ca="1" si="244"/>
        <v>-136.32017170682235</v>
      </c>
      <c r="I572" s="304">
        <f t="shared" ca="1" si="245"/>
        <v>136.60211802633935</v>
      </c>
      <c r="J572" s="306">
        <f t="shared" ca="1" si="246"/>
        <v>712.18513894933824</v>
      </c>
      <c r="K572" s="307">
        <f t="shared" ca="1" si="247"/>
        <v>-7.2135425326470006</v>
      </c>
      <c r="L572" s="304">
        <f t="shared" ca="1" si="232"/>
        <v>712.22167008323925</v>
      </c>
      <c r="M572" s="306">
        <f t="shared" ca="1" si="248"/>
        <v>-1.5065358086637854</v>
      </c>
      <c r="N572" s="304">
        <f t="shared" ca="1" si="249"/>
        <v>-86.318143521763432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4.0843000000000034</v>
      </c>
      <c r="T572" s="304">
        <f t="shared" ca="1" si="233"/>
        <v>40.066983000000036</v>
      </c>
      <c r="U572" s="311">
        <f t="shared" ca="1" si="234"/>
        <v>0</v>
      </c>
      <c r="V572" s="306">
        <f t="shared" ca="1" si="235"/>
        <v>1.225883977790819</v>
      </c>
      <c r="W572" s="304">
        <f t="shared" ca="1" si="236"/>
        <v>33.405836141179499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 t="e">
        <f t="shared" ca="1" si="237"/>
        <v>#N/A</v>
      </c>
      <c r="AG572" s="306">
        <f t="shared" ca="1" si="259"/>
        <v>1.6106975171635671</v>
      </c>
      <c r="AH572" s="304">
        <f t="shared" ca="1" si="260"/>
        <v>-8.1790543847831056</v>
      </c>
    </row>
    <row r="573" spans="1:34" x14ac:dyDescent="0.2">
      <c r="A573" s="347">
        <f t="shared" ca="1" si="238"/>
        <v>1E-4</v>
      </c>
      <c r="B573" s="304">
        <f t="shared" ca="1" si="239"/>
        <v>41.603900000000422</v>
      </c>
      <c r="D573" s="306">
        <f t="shared" ca="1" si="240"/>
        <v>-0.52523057188736089</v>
      </c>
      <c r="E573" s="307">
        <f t="shared" ca="1" si="241"/>
        <v>-1.6477967813476422</v>
      </c>
      <c r="F573" s="304">
        <f t="shared" ca="1" si="242"/>
        <v>1.7294800913178427</v>
      </c>
      <c r="G573" s="306">
        <f t="shared" ca="1" si="243"/>
        <v>8.7720301888431269</v>
      </c>
      <c r="H573" s="307">
        <f t="shared" ca="1" si="244"/>
        <v>-136.32033648650048</v>
      </c>
      <c r="I573" s="304">
        <f t="shared" ca="1" si="245"/>
        <v>136.60227909309086</v>
      </c>
      <c r="J573" s="306">
        <f t="shared" ca="1" si="246"/>
        <v>712.18513894933824</v>
      </c>
      <c r="K573" s="307">
        <f t="shared" ca="1" si="247"/>
        <v>-7.2271745580566664</v>
      </c>
      <c r="L573" s="304">
        <f t="shared" ca="1" si="232"/>
        <v>712.22180828192904</v>
      </c>
      <c r="M573" s="306">
        <f t="shared" ca="1" si="248"/>
        <v>-1.5065362698287939</v>
      </c>
      <c r="N573" s="304">
        <f t="shared" ca="1" si="249"/>
        <v>-86.318169944572062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4.0843000000000034</v>
      </c>
      <c r="T573" s="304">
        <f t="shared" ca="1" si="233"/>
        <v>40.066983000000036</v>
      </c>
      <c r="U573" s="311">
        <f t="shared" ca="1" si="234"/>
        <v>0</v>
      </c>
      <c r="V573" s="306">
        <f t="shared" ca="1" si="235"/>
        <v>1.2258856489203294</v>
      </c>
      <c r="W573" s="304">
        <f t="shared" ca="1" si="236"/>
        <v>33.405960457539663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 t="e">
        <f t="shared" ca="1" si="237"/>
        <v>#N/A</v>
      </c>
      <c r="AG573" s="306">
        <f t="shared" ca="1" si="259"/>
        <v>1.6106673698091658</v>
      </c>
      <c r="AH573" s="304">
        <f t="shared" ca="1" si="260"/>
        <v>-8.179084822657364</v>
      </c>
    </row>
    <row r="574" spans="1:34" x14ac:dyDescent="0.2">
      <c r="A574" s="347">
        <f t="shared" ca="1" si="238"/>
        <v>1E-4</v>
      </c>
      <c r="B574" s="304">
        <f t="shared" ca="1" si="239"/>
        <v>41.604000000000426</v>
      </c>
      <c r="D574" s="306">
        <f t="shared" ca="1" si="240"/>
        <v>-0.52522876234196925</v>
      </c>
      <c r="E574" s="307">
        <f t="shared" ca="1" si="241"/>
        <v>-1.6477661643355326</v>
      </c>
      <c r="F574" s="304">
        <f t="shared" ca="1" si="242"/>
        <v>1.7294503708173619</v>
      </c>
      <c r="G574" s="306">
        <f t="shared" ca="1" si="243"/>
        <v>8.771977665966892</v>
      </c>
      <c r="H574" s="307">
        <f t="shared" ca="1" si="244"/>
        <v>-136.32050126311691</v>
      </c>
      <c r="I574" s="304">
        <f t="shared" ca="1" si="245"/>
        <v>136.60244015682767</v>
      </c>
      <c r="J574" s="306">
        <f t="shared" ca="1" si="246"/>
        <v>712.18513894933824</v>
      </c>
      <c r="K574" s="307">
        <f t="shared" ca="1" si="247"/>
        <v>-7.2408065999441469</v>
      </c>
      <c r="L574" s="304">
        <f t="shared" ca="1" si="232"/>
        <v>712.22194674167827</v>
      </c>
      <c r="M574" s="306">
        <f t="shared" ca="1" si="248"/>
        <v>-1.5065367309899533</v>
      </c>
      <c r="N574" s="304">
        <f t="shared" ca="1" si="249"/>
        <v>-86.318196367160184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4.0843000000000034</v>
      </c>
      <c r="T574" s="304">
        <f t="shared" ca="1" si="233"/>
        <v>40.066983000000036</v>
      </c>
      <c r="U574" s="311">
        <f t="shared" ca="1" si="234"/>
        <v>0</v>
      </c>
      <c r="V574" s="306">
        <f t="shared" ca="1" si="235"/>
        <v>1.2258873200541385</v>
      </c>
      <c r="W574" s="304">
        <f t="shared" ca="1" si="236"/>
        <v>33.40608477285015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 t="e">
        <f t="shared" ca="1" si="257"/>
        <v>#N/A</v>
      </c>
      <c r="AD574" s="323" t="e">
        <f t="shared" ca="1" si="258"/>
        <v>#N/A</v>
      </c>
      <c r="AE574" s="324" t="e">
        <f t="shared" ca="1" si="237"/>
        <v>#N/A</v>
      </c>
      <c r="AG574" s="306">
        <f t="shared" ca="1" si="259"/>
        <v>1.6106372227072576</v>
      </c>
      <c r="AH574" s="304">
        <f t="shared" ca="1" si="260"/>
        <v>-8.1791152602746209</v>
      </c>
    </row>
    <row r="575" spans="1:34" x14ac:dyDescent="0.2">
      <c r="A575" s="347">
        <f t="shared" ca="1" si="238"/>
        <v>1E-4</v>
      </c>
      <c r="B575" s="304">
        <f t="shared" ca="1" si="239"/>
        <v>41.604100000000429</v>
      </c>
      <c r="D575" s="306">
        <f t="shared" ca="1" si="240"/>
        <v>-0.52522695278336262</v>
      </c>
      <c r="E575" s="307">
        <f t="shared" ca="1" si="241"/>
        <v>-1.6477355475818474</v>
      </c>
      <c r="F575" s="304">
        <f t="shared" ca="1" si="242"/>
        <v>1.7294206505922574</v>
      </c>
      <c r="G575" s="306">
        <f t="shared" ca="1" si="243"/>
        <v>8.7719251432716128</v>
      </c>
      <c r="H575" s="307">
        <f t="shared" ca="1" si="244"/>
        <v>-136.32066603667167</v>
      </c>
      <c r="I575" s="304">
        <f t="shared" ca="1" si="245"/>
        <v>136.60260121754976</v>
      </c>
      <c r="J575" s="306">
        <f t="shared" ca="1" si="246"/>
        <v>712.18513894933824</v>
      </c>
      <c r="K575" s="307">
        <f t="shared" ca="1" si="247"/>
        <v>-7.2544386583091365</v>
      </c>
      <c r="L575" s="304">
        <f t="shared" ca="1" si="232"/>
        <v>712.22208546248783</v>
      </c>
      <c r="M575" s="306">
        <f t="shared" ca="1" si="248"/>
        <v>-1.5065371921472641</v>
      </c>
      <c r="N575" s="304">
        <f t="shared" ca="1" si="249"/>
        <v>-86.31822278952778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4.0843000000000034</v>
      </c>
      <c r="T575" s="304">
        <f t="shared" ca="1" si="233"/>
        <v>40.066983000000036</v>
      </c>
      <c r="U575" s="311">
        <f t="shared" ca="1" si="234"/>
        <v>0</v>
      </c>
      <c r="V575" s="306">
        <f t="shared" ca="1" si="235"/>
        <v>1.2258889911922468</v>
      </c>
      <c r="W575" s="304">
        <f t="shared" ca="1" si="236"/>
        <v>33.406209087110952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 t="e">
        <f t="shared" ca="1" si="237"/>
        <v>#N/A</v>
      </c>
      <c r="AG575" s="306">
        <f t="shared" ca="1" si="259"/>
        <v>1.6106070758578444</v>
      </c>
      <c r="AH575" s="304">
        <f t="shared" ca="1" si="260"/>
        <v>-8.1791456976348762</v>
      </c>
    </row>
    <row r="576" spans="1:34" x14ac:dyDescent="0.2">
      <c r="A576" s="347">
        <f t="shared" ca="1" si="238"/>
        <v>1E-4</v>
      </c>
      <c r="B576" s="304">
        <f t="shared" ca="1" si="239"/>
        <v>41.604200000000432</v>
      </c>
      <c r="D576" s="306">
        <f t="shared" ca="1" si="240"/>
        <v>-0.52522514321153979</v>
      </c>
      <c r="E576" s="307">
        <f t="shared" ca="1" si="241"/>
        <v>-1.6477049310865937</v>
      </c>
      <c r="F576" s="304">
        <f t="shared" ca="1" si="242"/>
        <v>1.7293909306425366</v>
      </c>
      <c r="G576" s="306">
        <f t="shared" ca="1" si="243"/>
        <v>8.771872620757291</v>
      </c>
      <c r="H576" s="307">
        <f t="shared" ca="1" si="244"/>
        <v>-136.32083080716478</v>
      </c>
      <c r="I576" s="304">
        <f t="shared" ca="1" si="245"/>
        <v>136.60276227525722</v>
      </c>
      <c r="J576" s="306">
        <f t="shared" ca="1" si="246"/>
        <v>712.18513894933824</v>
      </c>
      <c r="K576" s="307">
        <f t="shared" ca="1" si="247"/>
        <v>-7.2680707331513279</v>
      </c>
      <c r="L576" s="304">
        <f t="shared" ca="1" si="232"/>
        <v>712.22222444435863</v>
      </c>
      <c r="M576" s="306">
        <f t="shared" ca="1" si="248"/>
        <v>-1.5065376533007262</v>
      </c>
      <c r="N576" s="304">
        <f t="shared" ca="1" si="249"/>
        <v>-86.318249211674868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4.0843000000000034</v>
      </c>
      <c r="T576" s="304">
        <f t="shared" ca="1" si="233"/>
        <v>40.066983000000036</v>
      </c>
      <c r="U576" s="311">
        <f t="shared" ca="1" si="234"/>
        <v>0</v>
      </c>
      <c r="V576" s="306">
        <f t="shared" ca="1" si="235"/>
        <v>1.2258906623346537</v>
      </c>
      <c r="W576" s="304">
        <f t="shared" ca="1" si="236"/>
        <v>33.406333400322076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 t="e">
        <f t="shared" ca="1" si="237"/>
        <v>#N/A</v>
      </c>
      <c r="AG576" s="306">
        <f t="shared" ca="1" si="259"/>
        <v>1.6105769292609331</v>
      </c>
      <c r="AH576" s="304">
        <f t="shared" ca="1" si="260"/>
        <v>-8.1791761347381247</v>
      </c>
    </row>
    <row r="577" spans="1:34" x14ac:dyDescent="0.2">
      <c r="A577" s="347">
        <f t="shared" ca="1" si="238"/>
        <v>1E-4</v>
      </c>
      <c r="B577" s="304">
        <f t="shared" ca="1" si="239"/>
        <v>41.604300000000435</v>
      </c>
      <c r="D577" s="306">
        <f t="shared" ca="1" si="240"/>
        <v>-0.52522333362650175</v>
      </c>
      <c r="E577" s="307">
        <f t="shared" ca="1" si="241"/>
        <v>-1.6476743148497661</v>
      </c>
      <c r="F577" s="304">
        <f t="shared" ca="1" si="242"/>
        <v>1.7293612109681951</v>
      </c>
      <c r="G577" s="306">
        <f t="shared" ca="1" si="243"/>
        <v>8.7718200984239285</v>
      </c>
      <c r="H577" s="307">
        <f t="shared" ca="1" si="244"/>
        <v>-136.32099557459625</v>
      </c>
      <c r="I577" s="304">
        <f t="shared" ca="1" si="245"/>
        <v>136.60292332995004</v>
      </c>
      <c r="J577" s="306">
        <f t="shared" ca="1" si="246"/>
        <v>712.18513894933824</v>
      </c>
      <c r="K577" s="307">
        <f t="shared" ca="1" si="247"/>
        <v>-7.2817028244704156</v>
      </c>
      <c r="L577" s="304">
        <f t="shared" ca="1" si="232"/>
        <v>712.22236368729125</v>
      </c>
      <c r="M577" s="306">
        <f t="shared" ca="1" si="248"/>
        <v>-1.5065381144503398</v>
      </c>
      <c r="N577" s="304">
        <f t="shared" ca="1" si="249"/>
        <v>-86.318275633601445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4.0843000000000034</v>
      </c>
      <c r="T577" s="304">
        <f t="shared" ca="1" si="233"/>
        <v>40.066983000000036</v>
      </c>
      <c r="U577" s="311">
        <f t="shared" ca="1" si="234"/>
        <v>0</v>
      </c>
      <c r="V577" s="306">
        <f t="shared" ca="1" si="235"/>
        <v>1.2258923334813594</v>
      </c>
      <c r="W577" s="304">
        <f t="shared" ca="1" si="236"/>
        <v>33.40645771248353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 t="e">
        <f t="shared" ca="1" si="237"/>
        <v>#N/A</v>
      </c>
      <c r="AG577" s="306">
        <f t="shared" ca="1" si="259"/>
        <v>1.610546782916515</v>
      </c>
      <c r="AH577" s="304">
        <f t="shared" ca="1" si="260"/>
        <v>-8.1792065715843716</v>
      </c>
    </row>
    <row r="578" spans="1:34" x14ac:dyDescent="0.2">
      <c r="A578" s="347">
        <f t="shared" ca="1" si="238"/>
        <v>1E-4</v>
      </c>
      <c r="B578" s="304">
        <f t="shared" ca="1" si="239"/>
        <v>41.604400000000439</v>
      </c>
      <c r="D578" s="306">
        <f t="shared" ca="1" si="240"/>
        <v>-0.5252215240282474</v>
      </c>
      <c r="E578" s="307">
        <f t="shared" ca="1" si="241"/>
        <v>-1.6476436988713647</v>
      </c>
      <c r="F578" s="304">
        <f t="shared" ca="1" si="242"/>
        <v>1.7293314915692328</v>
      </c>
      <c r="G578" s="306">
        <f t="shared" ca="1" si="243"/>
        <v>8.7717675762715253</v>
      </c>
      <c r="H578" s="307">
        <f t="shared" ca="1" si="244"/>
        <v>-136.32116033896614</v>
      </c>
      <c r="I578" s="304">
        <f t="shared" ca="1" si="245"/>
        <v>136.60308438162824</v>
      </c>
      <c r="J578" s="306">
        <f t="shared" ca="1" si="246"/>
        <v>712.18513894933824</v>
      </c>
      <c r="K578" s="307">
        <f t="shared" ca="1" si="247"/>
        <v>-7.2953349322660941</v>
      </c>
      <c r="L578" s="304">
        <f t="shared" ca="1" si="232"/>
        <v>712.22250319128659</v>
      </c>
      <c r="M578" s="306">
        <f t="shared" ca="1" si="248"/>
        <v>-1.5065385755961049</v>
      </c>
      <c r="N578" s="304">
        <f t="shared" ca="1" si="249"/>
        <v>-86.318302055307527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4.0843000000000034</v>
      </c>
      <c r="T578" s="304">
        <f t="shared" ca="1" si="233"/>
        <v>40.066983000000036</v>
      </c>
      <c r="U578" s="311">
        <f t="shared" ca="1" si="234"/>
        <v>0</v>
      </c>
      <c r="V578" s="306">
        <f t="shared" ca="1" si="235"/>
        <v>1.2258940046323641</v>
      </c>
      <c r="W578" s="304">
        <f t="shared" ca="1" si="236"/>
        <v>33.406582023595305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 t="e">
        <f t="shared" ca="1" si="237"/>
        <v>#N/A</v>
      </c>
      <c r="AG578" s="306">
        <f t="shared" ca="1" si="259"/>
        <v>1.6105166368245936</v>
      </c>
      <c r="AH578" s="304">
        <f t="shared" ca="1" si="260"/>
        <v>-8.179237008173617</v>
      </c>
    </row>
    <row r="579" spans="1:34" x14ac:dyDescent="0.2">
      <c r="A579" s="347">
        <f t="shared" ca="1" si="238"/>
        <v>1E-4</v>
      </c>
      <c r="B579" s="304">
        <f t="shared" ca="1" si="239"/>
        <v>41.604500000000442</v>
      </c>
      <c r="D579" s="306">
        <f t="shared" ca="1" si="240"/>
        <v>-0.52521971441677728</v>
      </c>
      <c r="E579" s="307">
        <f t="shared" ca="1" si="241"/>
        <v>-1.6476130831513895</v>
      </c>
      <c r="F579" s="304">
        <f t="shared" ca="1" si="242"/>
        <v>1.7293017724456505</v>
      </c>
      <c r="G579" s="306">
        <f t="shared" ca="1" si="243"/>
        <v>8.771715054300083</v>
      </c>
      <c r="H579" s="307">
        <f t="shared" ca="1" si="244"/>
        <v>-136.32132510027446</v>
      </c>
      <c r="I579" s="304">
        <f t="shared" ca="1" si="245"/>
        <v>136.60324543029185</v>
      </c>
      <c r="J579" s="306">
        <f t="shared" ca="1" si="246"/>
        <v>712.18513894933824</v>
      </c>
      <c r="K579" s="307">
        <f t="shared" ca="1" si="247"/>
        <v>-7.308967056538056</v>
      </c>
      <c r="L579" s="304">
        <f t="shared" ca="1" si="232"/>
        <v>712.22264295634534</v>
      </c>
      <c r="M579" s="306">
        <f t="shared" ca="1" si="248"/>
        <v>-1.5065390367380214</v>
      </c>
      <c r="N579" s="304">
        <f t="shared" ca="1" si="249"/>
        <v>-86.318328476793099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4.0843000000000034</v>
      </c>
      <c r="T579" s="304">
        <f t="shared" ca="1" si="233"/>
        <v>40.066983000000036</v>
      </c>
      <c r="U579" s="311">
        <f t="shared" ca="1" si="234"/>
        <v>0</v>
      </c>
      <c r="V579" s="306">
        <f t="shared" ca="1" si="235"/>
        <v>1.2258956757876673</v>
      </c>
      <c r="W579" s="304">
        <f t="shared" ca="1" si="236"/>
        <v>33.406706333657397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 t="e">
        <f t="shared" ca="1" si="237"/>
        <v>#N/A</v>
      </c>
      <c r="AG579" s="306">
        <f t="shared" ca="1" si="259"/>
        <v>1.6104864909851688</v>
      </c>
      <c r="AH579" s="304">
        <f t="shared" ca="1" si="260"/>
        <v>-8.1792674445058591</v>
      </c>
    </row>
    <row r="580" spans="1:34" x14ac:dyDescent="0.2">
      <c r="A580" s="347">
        <f t="shared" ca="1" si="238"/>
        <v>1E-4</v>
      </c>
      <c r="B580" s="304">
        <f t="shared" ca="1" si="239"/>
        <v>41.604600000000445</v>
      </c>
      <c r="D580" s="306">
        <f t="shared" ca="1" si="240"/>
        <v>-0.52521790479209374</v>
      </c>
      <c r="E580" s="307">
        <f t="shared" ca="1" si="241"/>
        <v>-1.6475824676898441</v>
      </c>
      <c r="F580" s="304">
        <f t="shared" ca="1" si="242"/>
        <v>1.7292720535974531</v>
      </c>
      <c r="G580" s="306">
        <f t="shared" ca="1" si="243"/>
        <v>8.7716625325096036</v>
      </c>
      <c r="H580" s="307">
        <f t="shared" ca="1" si="244"/>
        <v>-136.32148985852123</v>
      </c>
      <c r="I580" s="304">
        <f t="shared" ca="1" si="245"/>
        <v>136.60340647594091</v>
      </c>
      <c r="J580" s="306">
        <f t="shared" ca="1" si="246"/>
        <v>712.18513894933824</v>
      </c>
      <c r="K580" s="307">
        <f t="shared" ca="1" si="247"/>
        <v>-7.3225991972859958</v>
      </c>
      <c r="L580" s="304">
        <f t="shared" ref="L580:L643" ca="1" si="261">SQRT(pos_x^2+pos_z^2)</f>
        <v>712.2227829824684</v>
      </c>
      <c r="M580" s="306">
        <f t="shared" ca="1" si="248"/>
        <v>-1.5065394978760895</v>
      </c>
      <c r="N580" s="304">
        <f t="shared" ca="1" si="249"/>
        <v>-86.318354898058175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4.0843000000000034</v>
      </c>
      <c r="T580" s="304">
        <f t="shared" ref="T580:T643" ca="1" si="262">m*g</f>
        <v>40.066983000000036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1.2258973469472696</v>
      </c>
      <c r="W580" s="304">
        <f t="shared" ref="W580:W643" ca="1" si="265">1/2*Rho*Sref*Cx*vit_xz^2</f>
        <v>33.406830642669831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 t="e">
        <f t="shared" ref="AE580:AE643" ca="1" si="266">IF(t&lt;T_para, pos_z, NA())</f>
        <v>#N/A</v>
      </c>
      <c r="AG580" s="306">
        <f t="shared" ca="1" si="259"/>
        <v>1.6104563453982426</v>
      </c>
      <c r="AH580" s="304">
        <f t="shared" ca="1" si="260"/>
        <v>-8.1792978805810961</v>
      </c>
    </row>
    <row r="581" spans="1:34" x14ac:dyDescent="0.2">
      <c r="A581" s="347">
        <f t="shared" ref="A581:A644" ca="1" si="267">IF(B580+0.01&lt;=T_ini+ROUNDUP(Temps_fin_propu,0), 0.01, IF(K580&gt;0, 0.1, 0.0001))</f>
        <v>1E-4</v>
      </c>
      <c r="B581" s="304">
        <f t="shared" ref="B581:B644" ca="1" si="268">B580+pas</f>
        <v>41.604700000000449</v>
      </c>
      <c r="D581" s="306">
        <f t="shared" ref="D581:D644" ca="1" si="269">IF(AND(L580&lt;L_rampe,Poussee&lt;Poids*SIN(M580)),0,(-W580+Poussee)/m*COS(M580)-U580/m*SIN(M580))</f>
        <v>-0.52521609515419454</v>
      </c>
      <c r="E581" s="307">
        <f t="shared" ref="E581:E644" ca="1" si="270">IF(AND(L580&lt;L_rampe,Poussee&lt;Poids*SIN(M580)),0,(-W580+Poussee)/m*SIN(M580)+U580/m*COS(M580)-Poids/m)</f>
        <v>-1.6475518524867212</v>
      </c>
      <c r="F581" s="304">
        <f t="shared" ref="F581:F644" ca="1" si="271">SQRT(acc_x^2+acc_z^2)</f>
        <v>1.7292423350246333</v>
      </c>
      <c r="G581" s="306">
        <f t="shared" ref="G581:G644" ca="1" si="272">G580+acc_x*pas</f>
        <v>8.7716100109000887</v>
      </c>
      <c r="H581" s="307">
        <f t="shared" ref="H581:H644" ca="1" si="273">H580+acc_z*pas</f>
        <v>-136.32165461370647</v>
      </c>
      <c r="I581" s="304">
        <f t="shared" ref="I581:I644" ca="1" si="274">SQRT(vit_x^2+vit_z^2)</f>
        <v>136.60356751857543</v>
      </c>
      <c r="J581" s="306">
        <f t="shared" ref="J581:J644" ca="1" si="275">J580+0.5*(vit_x+G580)*pas*(K580&gt;=0)</f>
        <v>712.18513894933824</v>
      </c>
      <c r="K581" s="307">
        <f t="shared" ref="K581:K644" ca="1" si="276">K580+0.5*(vit_z+H580)*pas</f>
        <v>-7.3362313545096072</v>
      </c>
      <c r="L581" s="304">
        <f t="shared" ca="1" si="261"/>
        <v>712.22292326965658</v>
      </c>
      <c r="M581" s="306">
        <f t="shared" ref="M581:M644" ca="1" si="277">IF(AND(L580&gt;L_rampe,G581&gt;0),ATAN2(G581,H581),$M$4)</f>
        <v>-1.5065399590103092</v>
      </c>
      <c r="N581" s="304">
        <f t="shared" ref="N581:N644" ca="1" si="278">DEGREES(Beta)</f>
        <v>-86.318381319102755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4.0843000000000034</v>
      </c>
      <c r="T581" s="304">
        <f t="shared" ca="1" si="262"/>
        <v>40.066983000000036</v>
      </c>
      <c r="U581" s="311">
        <f t="shared" ca="1" si="263"/>
        <v>0</v>
      </c>
      <c r="V581" s="306">
        <f t="shared" ca="1" si="264"/>
        <v>1.2258990181111704</v>
      </c>
      <c r="W581" s="304">
        <f t="shared" ca="1" si="265"/>
        <v>33.406954950632596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 t="e">
        <f t="shared" ca="1" si="266"/>
        <v>#N/A</v>
      </c>
      <c r="AG581" s="306">
        <f t="shared" ref="AG581:AG644" ca="1" si="288">IF(AND(L580&lt;L_rampe,Poussee&lt;Poids*SIN(M580)),0,(-W580+Poussee)/m-Poids*SIN(M580)/m)</f>
        <v>1.6104262000638094</v>
      </c>
      <c r="AH581" s="304">
        <f t="shared" ref="AH581:AH644" ca="1" si="289">IF(AND(L580&lt;L_rampe,Poussee&lt;Poids*SIN(M580)), g*SIN(M580), (-W580+Poussee)/m)</f>
        <v>-8.1793283163993351</v>
      </c>
    </row>
    <row r="582" spans="1:34" x14ac:dyDescent="0.2">
      <c r="A582" s="347">
        <f t="shared" ca="1" si="267"/>
        <v>1E-4</v>
      </c>
      <c r="B582" s="304">
        <f t="shared" ca="1" si="268"/>
        <v>41.604800000000452</v>
      </c>
      <c r="D582" s="306">
        <f t="shared" ca="1" si="269"/>
        <v>-0.52521428550308169</v>
      </c>
      <c r="E582" s="307">
        <f t="shared" ca="1" si="270"/>
        <v>-1.6475212375420245</v>
      </c>
      <c r="F582" s="304">
        <f t="shared" ca="1" si="271"/>
        <v>1.729212616727196</v>
      </c>
      <c r="G582" s="306">
        <f t="shared" ca="1" si="272"/>
        <v>8.7715574894715385</v>
      </c>
      <c r="H582" s="307">
        <f t="shared" ca="1" si="273"/>
        <v>-136.32181936583024</v>
      </c>
      <c r="I582" s="304">
        <f t="shared" ca="1" si="274"/>
        <v>136.60372855819548</v>
      </c>
      <c r="J582" s="306">
        <f t="shared" ca="1" si="275"/>
        <v>712.18513894933824</v>
      </c>
      <c r="K582" s="307">
        <f t="shared" ca="1" si="276"/>
        <v>-7.3498635282085836</v>
      </c>
      <c r="L582" s="304">
        <f t="shared" ca="1" si="261"/>
        <v>712.22306381791054</v>
      </c>
      <c r="M582" s="306">
        <f t="shared" ca="1" si="277"/>
        <v>-1.5065404201406805</v>
      </c>
      <c r="N582" s="304">
        <f t="shared" ca="1" si="278"/>
        <v>-86.31840773992684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4.0843000000000034</v>
      </c>
      <c r="T582" s="304">
        <f t="shared" ca="1" si="262"/>
        <v>40.066983000000036</v>
      </c>
      <c r="U582" s="311">
        <f t="shared" ca="1" si="263"/>
        <v>0</v>
      </c>
      <c r="V582" s="306">
        <f t="shared" ca="1" si="264"/>
        <v>1.2259006892793698</v>
      </c>
      <c r="W582" s="304">
        <f t="shared" ca="1" si="265"/>
        <v>33.407079257545703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 t="e">
        <f t="shared" ca="1" si="266"/>
        <v>#N/A</v>
      </c>
      <c r="AG582" s="306">
        <f t="shared" ca="1" si="288"/>
        <v>1.6103960549818712</v>
      </c>
      <c r="AH582" s="304">
        <f t="shared" ca="1" si="289"/>
        <v>-8.1793587519605726</v>
      </c>
    </row>
    <row r="583" spans="1:34" x14ac:dyDescent="0.2">
      <c r="A583" s="347">
        <f t="shared" ca="1" si="267"/>
        <v>1E-4</v>
      </c>
      <c r="B583" s="304">
        <f t="shared" ca="1" si="268"/>
        <v>41.604900000000455</v>
      </c>
      <c r="D583" s="306">
        <f t="shared" ca="1" si="269"/>
        <v>-0.52521247583875652</v>
      </c>
      <c r="E583" s="307">
        <f t="shared" ca="1" si="270"/>
        <v>-1.6474906228557469</v>
      </c>
      <c r="F583" s="304">
        <f t="shared" ca="1" si="271"/>
        <v>1.729182898705135</v>
      </c>
      <c r="G583" s="306">
        <f t="shared" ca="1" si="272"/>
        <v>8.7715049682239545</v>
      </c>
      <c r="H583" s="307">
        <f t="shared" ca="1" si="273"/>
        <v>-136.32198411489253</v>
      </c>
      <c r="I583" s="304">
        <f t="shared" ca="1" si="274"/>
        <v>136.60388959480102</v>
      </c>
      <c r="J583" s="306">
        <f t="shared" ca="1" si="275"/>
        <v>712.18513894933824</v>
      </c>
      <c r="K583" s="307">
        <f t="shared" ca="1" si="276"/>
        <v>-7.3634957183826195</v>
      </c>
      <c r="L583" s="304">
        <f t="shared" ca="1" si="261"/>
        <v>712.22320462723121</v>
      </c>
      <c r="M583" s="306">
        <f t="shared" ca="1" si="277"/>
        <v>-1.5065408812672036</v>
      </c>
      <c r="N583" s="304">
        <f t="shared" ca="1" si="278"/>
        <v>-86.31843416053043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4.0843000000000034</v>
      </c>
      <c r="T583" s="304">
        <f t="shared" ca="1" si="262"/>
        <v>40.066983000000036</v>
      </c>
      <c r="U583" s="311">
        <f t="shared" ca="1" si="263"/>
        <v>0</v>
      </c>
      <c r="V583" s="306">
        <f t="shared" ca="1" si="264"/>
        <v>1.2259023604518682</v>
      </c>
      <c r="W583" s="304">
        <f t="shared" ca="1" si="265"/>
        <v>33.407203563409134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 t="e">
        <f t="shared" ca="1" si="266"/>
        <v>#N/A</v>
      </c>
      <c r="AG583" s="306">
        <f t="shared" ca="1" si="288"/>
        <v>1.6103659101524226</v>
      </c>
      <c r="AH583" s="304">
        <f t="shared" ca="1" si="289"/>
        <v>-8.1793891872648139</v>
      </c>
    </row>
    <row r="584" spans="1:34" x14ac:dyDescent="0.2">
      <c r="A584" s="347">
        <f t="shared" ca="1" si="267"/>
        <v>1E-4</v>
      </c>
      <c r="B584" s="304">
        <f t="shared" ca="1" si="268"/>
        <v>41.605000000000459</v>
      </c>
      <c r="D584" s="306">
        <f t="shared" ca="1" si="269"/>
        <v>-0.52521066616121537</v>
      </c>
      <c r="E584" s="307">
        <f t="shared" ca="1" si="270"/>
        <v>-1.647460008427899</v>
      </c>
      <c r="F584" s="304">
        <f t="shared" ca="1" si="271"/>
        <v>1.7291531809584602</v>
      </c>
      <c r="G584" s="306">
        <f t="shared" ca="1" si="272"/>
        <v>8.7714524471573387</v>
      </c>
      <c r="H584" s="307">
        <f t="shared" ca="1" si="273"/>
        <v>-136.32214886089338</v>
      </c>
      <c r="I584" s="304">
        <f t="shared" ca="1" si="274"/>
        <v>136.60405062839212</v>
      </c>
      <c r="J584" s="306">
        <f t="shared" ca="1" si="275"/>
        <v>712.18513894933824</v>
      </c>
      <c r="K584" s="307">
        <f t="shared" ca="1" si="276"/>
        <v>-7.3771279250314086</v>
      </c>
      <c r="L584" s="304">
        <f t="shared" ca="1" si="261"/>
        <v>712.22334569761927</v>
      </c>
      <c r="M584" s="306">
        <f t="shared" ca="1" si="277"/>
        <v>-1.5065413423898784</v>
      </c>
      <c r="N584" s="304">
        <f t="shared" ca="1" si="278"/>
        <v>-86.318460580913538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4.0843000000000034</v>
      </c>
      <c r="T584" s="304">
        <f t="shared" ca="1" si="262"/>
        <v>40.066983000000036</v>
      </c>
      <c r="U584" s="311">
        <f t="shared" ca="1" si="263"/>
        <v>0</v>
      </c>
      <c r="V584" s="306">
        <f t="shared" ca="1" si="264"/>
        <v>1.2259040316286651</v>
      </c>
      <c r="W584" s="304">
        <f t="shared" ca="1" si="265"/>
        <v>33.407327868222914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 t="e">
        <f t="shared" ca="1" si="286"/>
        <v>#N/A</v>
      </c>
      <c r="AD584" s="323" t="e">
        <f t="shared" ca="1" si="287"/>
        <v>#N/A</v>
      </c>
      <c r="AE584" s="324" t="e">
        <f t="shared" ca="1" si="266"/>
        <v>#N/A</v>
      </c>
      <c r="AG584" s="306">
        <f t="shared" ca="1" si="288"/>
        <v>1.6103357655754724</v>
      </c>
      <c r="AH584" s="304">
        <f t="shared" ca="1" si="289"/>
        <v>-8.1794196223120501</v>
      </c>
    </row>
    <row r="585" spans="1:34" x14ac:dyDescent="0.2">
      <c r="A585" s="347">
        <f t="shared" ca="1" si="267"/>
        <v>1E-4</v>
      </c>
      <c r="B585" s="304">
        <f t="shared" ca="1" si="268"/>
        <v>41.605100000000462</v>
      </c>
      <c r="D585" s="306">
        <f t="shared" ca="1" si="269"/>
        <v>-0.52520885647046323</v>
      </c>
      <c r="E585" s="307">
        <f t="shared" ca="1" si="270"/>
        <v>-1.6474293942584701</v>
      </c>
      <c r="F585" s="304">
        <f t="shared" ca="1" si="271"/>
        <v>1.7291234634871628</v>
      </c>
      <c r="G585" s="306">
        <f t="shared" ca="1" si="272"/>
        <v>8.7713999262716911</v>
      </c>
      <c r="H585" s="307">
        <f t="shared" ca="1" si="273"/>
        <v>-136.32231360383281</v>
      </c>
      <c r="I585" s="304">
        <f t="shared" ca="1" si="274"/>
        <v>136.60421165896875</v>
      </c>
      <c r="J585" s="306">
        <f t="shared" ca="1" si="275"/>
        <v>712.18513894933824</v>
      </c>
      <c r="K585" s="307">
        <f t="shared" ca="1" si="276"/>
        <v>-7.3907601481546452</v>
      </c>
      <c r="L585" s="304">
        <f t="shared" ca="1" si="261"/>
        <v>712.22348702907561</v>
      </c>
      <c r="M585" s="306">
        <f t="shared" ca="1" si="277"/>
        <v>-1.5065418035087048</v>
      </c>
      <c r="N585" s="304">
        <f t="shared" ca="1" si="278"/>
        <v>-86.31848700107615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4.0843000000000034</v>
      </c>
      <c r="T585" s="304">
        <f t="shared" ca="1" si="262"/>
        <v>40.066983000000036</v>
      </c>
      <c r="U585" s="311">
        <f t="shared" ca="1" si="263"/>
        <v>0</v>
      </c>
      <c r="V585" s="306">
        <f t="shared" ca="1" si="264"/>
        <v>1.2259057028097609</v>
      </c>
      <c r="W585" s="304">
        <f t="shared" ca="1" si="265"/>
        <v>33.407452171987018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 t="e">
        <f t="shared" ca="1" si="266"/>
        <v>#N/A</v>
      </c>
      <c r="AG585" s="306">
        <f t="shared" ca="1" si="288"/>
        <v>1.6103056212510154</v>
      </c>
      <c r="AH585" s="304">
        <f t="shared" ca="1" si="289"/>
        <v>-8.1794500571022901</v>
      </c>
    </row>
    <row r="586" spans="1:34" x14ac:dyDescent="0.2">
      <c r="A586" s="347">
        <f t="shared" ca="1" si="267"/>
        <v>1E-4</v>
      </c>
      <c r="B586" s="304">
        <f t="shared" ca="1" si="268"/>
        <v>41.605200000000465</v>
      </c>
      <c r="D586" s="306">
        <f t="shared" ca="1" si="269"/>
        <v>-0.52520704676649865</v>
      </c>
      <c r="E586" s="307">
        <f t="shared" ca="1" si="270"/>
        <v>-1.6473987803474692</v>
      </c>
      <c r="F586" s="304">
        <f t="shared" ca="1" si="271"/>
        <v>1.7290937462912521</v>
      </c>
      <c r="G586" s="306">
        <f t="shared" ca="1" si="272"/>
        <v>8.7713474055670151</v>
      </c>
      <c r="H586" s="307">
        <f t="shared" ca="1" si="273"/>
        <v>-136.32247834371086</v>
      </c>
      <c r="I586" s="304">
        <f t="shared" ca="1" si="274"/>
        <v>136.60437268653104</v>
      </c>
      <c r="J586" s="306">
        <f t="shared" ca="1" si="275"/>
        <v>712.18513894933824</v>
      </c>
      <c r="K586" s="307">
        <f t="shared" ca="1" si="276"/>
        <v>-7.4043923877520221</v>
      </c>
      <c r="L586" s="304">
        <f t="shared" ca="1" si="261"/>
        <v>712.22362862160082</v>
      </c>
      <c r="M586" s="306">
        <f t="shared" ca="1" si="277"/>
        <v>-1.5065422646236832</v>
      </c>
      <c r="N586" s="304">
        <f t="shared" ca="1" si="278"/>
        <v>-86.318513421018281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4.0843000000000034</v>
      </c>
      <c r="T586" s="304">
        <f t="shared" ca="1" si="262"/>
        <v>40.066983000000036</v>
      </c>
      <c r="U586" s="311">
        <f t="shared" ca="1" si="263"/>
        <v>0</v>
      </c>
      <c r="V586" s="306">
        <f t="shared" ca="1" si="264"/>
        <v>1.2259073739951547</v>
      </c>
      <c r="W586" s="304">
        <f t="shared" ca="1" si="265"/>
        <v>33.407576474701479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 t="e">
        <f t="shared" ca="1" si="266"/>
        <v>#N/A</v>
      </c>
      <c r="AG586" s="306">
        <f t="shared" ca="1" si="288"/>
        <v>1.6102754771790533</v>
      </c>
      <c r="AH586" s="304">
        <f t="shared" ca="1" si="289"/>
        <v>-8.1794804916355286</v>
      </c>
    </row>
    <row r="587" spans="1:34" x14ac:dyDescent="0.2">
      <c r="A587" s="347">
        <f t="shared" ca="1" si="267"/>
        <v>1E-4</v>
      </c>
      <c r="B587" s="304">
        <f t="shared" ca="1" si="268"/>
        <v>41.605300000000469</v>
      </c>
      <c r="D587" s="306">
        <f t="shared" ca="1" si="269"/>
        <v>-0.52520523704932087</v>
      </c>
      <c r="E587" s="307">
        <f t="shared" ca="1" si="270"/>
        <v>-1.6473681666948838</v>
      </c>
      <c r="F587" s="304">
        <f t="shared" ca="1" si="271"/>
        <v>1.7290640293707158</v>
      </c>
      <c r="G587" s="306">
        <f t="shared" ca="1" si="272"/>
        <v>8.7712948850433108</v>
      </c>
      <c r="H587" s="307">
        <f t="shared" ca="1" si="273"/>
        <v>-136.32264308052751</v>
      </c>
      <c r="I587" s="304">
        <f t="shared" ca="1" si="274"/>
        <v>136.60453371107886</v>
      </c>
      <c r="J587" s="306">
        <f t="shared" ca="1" si="275"/>
        <v>712.18513894933824</v>
      </c>
      <c r="K587" s="307">
        <f t="shared" ca="1" si="276"/>
        <v>-7.4180246438232338</v>
      </c>
      <c r="L587" s="304">
        <f t="shared" ca="1" si="261"/>
        <v>712.22377047519592</v>
      </c>
      <c r="M587" s="306">
        <f t="shared" ca="1" si="277"/>
        <v>-1.5065427257348134</v>
      </c>
      <c r="N587" s="304">
        <f t="shared" ca="1" si="278"/>
        <v>-86.318539840739916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4.0843000000000034</v>
      </c>
      <c r="T587" s="304">
        <f t="shared" ca="1" si="262"/>
        <v>40.066983000000036</v>
      </c>
      <c r="U587" s="311">
        <f t="shared" ca="1" si="263"/>
        <v>0</v>
      </c>
      <c r="V587" s="306">
        <f t="shared" ca="1" si="264"/>
        <v>1.2259090451848476</v>
      </c>
      <c r="W587" s="304">
        <f t="shared" ca="1" si="265"/>
        <v>33.407700776366248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 t="e">
        <f t="shared" ca="1" si="266"/>
        <v>#N/A</v>
      </c>
      <c r="AG587" s="306">
        <f t="shared" ca="1" si="288"/>
        <v>1.610245333359579</v>
      </c>
      <c r="AH587" s="304">
        <f t="shared" ca="1" si="289"/>
        <v>-8.1795109259117726</v>
      </c>
    </row>
    <row r="588" spans="1:34" x14ac:dyDescent="0.2">
      <c r="A588" s="347">
        <f t="shared" ca="1" si="267"/>
        <v>1E-4</v>
      </c>
      <c r="B588" s="304">
        <f t="shared" ca="1" si="268"/>
        <v>41.605400000000472</v>
      </c>
      <c r="D588" s="306">
        <f t="shared" ca="1" si="269"/>
        <v>-0.52520342731893177</v>
      </c>
      <c r="E588" s="307">
        <f t="shared" ca="1" si="270"/>
        <v>-1.6473375533007335</v>
      </c>
      <c r="F588" s="304">
        <f t="shared" ca="1" si="271"/>
        <v>1.7290343127255745</v>
      </c>
      <c r="G588" s="306">
        <f t="shared" ca="1" si="272"/>
        <v>8.7712423647005782</v>
      </c>
      <c r="H588" s="307">
        <f t="shared" ca="1" si="273"/>
        <v>-136.32280781428284</v>
      </c>
      <c r="I588" s="304">
        <f t="shared" ca="1" si="274"/>
        <v>136.60469473261236</v>
      </c>
      <c r="J588" s="306">
        <f t="shared" ca="1" si="275"/>
        <v>712.18513894933824</v>
      </c>
      <c r="K588" s="307">
        <f t="shared" ca="1" si="276"/>
        <v>-7.4316569163679747</v>
      </c>
      <c r="L588" s="304">
        <f t="shared" ca="1" si="261"/>
        <v>712.22391258986158</v>
      </c>
      <c r="M588" s="306">
        <f t="shared" ca="1" si="277"/>
        <v>-1.5065431868420958</v>
      </c>
      <c r="N588" s="304">
        <f t="shared" ca="1" si="278"/>
        <v>-86.318566260241099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4.0843000000000034</v>
      </c>
      <c r="T588" s="304">
        <f t="shared" ca="1" si="262"/>
        <v>40.066983000000036</v>
      </c>
      <c r="U588" s="311">
        <f t="shared" ca="1" si="263"/>
        <v>0</v>
      </c>
      <c r="V588" s="306">
        <f t="shared" ca="1" si="264"/>
        <v>1.2259107163788387</v>
      </c>
      <c r="W588" s="304">
        <f t="shared" ca="1" si="265"/>
        <v>33.407825076981368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 t="e">
        <f t="shared" ca="1" si="266"/>
        <v>#N/A</v>
      </c>
      <c r="AG588" s="306">
        <f t="shared" ca="1" si="288"/>
        <v>1.6102151897926067</v>
      </c>
      <c r="AH588" s="304">
        <f t="shared" ca="1" si="289"/>
        <v>-8.1795413599310098</v>
      </c>
    </row>
    <row r="589" spans="1:34" x14ac:dyDescent="0.2">
      <c r="A589" s="347">
        <f t="shared" ca="1" si="267"/>
        <v>1E-4</v>
      </c>
      <c r="B589" s="304">
        <f t="shared" ca="1" si="268"/>
        <v>41.605500000000475</v>
      </c>
      <c r="D589" s="306">
        <f t="shared" ca="1" si="269"/>
        <v>-0.52520161757532891</v>
      </c>
      <c r="E589" s="307">
        <f t="shared" ca="1" si="270"/>
        <v>-1.6473069401650022</v>
      </c>
      <c r="F589" s="304">
        <f t="shared" ca="1" si="271"/>
        <v>1.7290045963558121</v>
      </c>
      <c r="G589" s="306">
        <f t="shared" ca="1" si="272"/>
        <v>8.7711898445388208</v>
      </c>
      <c r="H589" s="307">
        <f t="shared" ca="1" si="273"/>
        <v>-136.32297254497686</v>
      </c>
      <c r="I589" s="304">
        <f t="shared" ca="1" si="274"/>
        <v>136.60485575113154</v>
      </c>
      <c r="J589" s="306">
        <f t="shared" ca="1" si="275"/>
        <v>712.18513894933824</v>
      </c>
      <c r="K589" s="307">
        <f t="shared" ca="1" si="276"/>
        <v>-7.4452892053859374</v>
      </c>
      <c r="L589" s="304">
        <f t="shared" ca="1" si="261"/>
        <v>712.22405496559861</v>
      </c>
      <c r="M589" s="306">
        <f t="shared" ca="1" si="277"/>
        <v>-1.5065436479455299</v>
      </c>
      <c r="N589" s="304">
        <f t="shared" ca="1" si="278"/>
        <v>-86.318592679521799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4.0843000000000034</v>
      </c>
      <c r="T589" s="304">
        <f t="shared" ca="1" si="262"/>
        <v>40.066983000000036</v>
      </c>
      <c r="U589" s="311">
        <f t="shared" ca="1" si="263"/>
        <v>0</v>
      </c>
      <c r="V589" s="306">
        <f t="shared" ca="1" si="264"/>
        <v>1.2259123875771287</v>
      </c>
      <c r="W589" s="304">
        <f t="shared" ca="1" si="265"/>
        <v>33.407949376546853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 t="e">
        <f t="shared" ca="1" si="266"/>
        <v>#N/A</v>
      </c>
      <c r="AG589" s="306">
        <f t="shared" ca="1" si="288"/>
        <v>1.6101850464781275</v>
      </c>
      <c r="AH589" s="304">
        <f t="shared" ca="1" si="289"/>
        <v>-8.179571793693249</v>
      </c>
    </row>
    <row r="590" spans="1:34" x14ac:dyDescent="0.2">
      <c r="A590" s="347">
        <f t="shared" ca="1" si="267"/>
        <v>1E-4</v>
      </c>
      <c r="B590" s="304">
        <f t="shared" ca="1" si="268"/>
        <v>41.605600000000479</v>
      </c>
      <c r="D590" s="306">
        <f t="shared" ca="1" si="269"/>
        <v>-0.52519980781851694</v>
      </c>
      <c r="E590" s="307">
        <f t="shared" ca="1" si="270"/>
        <v>-1.6472763272876865</v>
      </c>
      <c r="F590" s="304">
        <f t="shared" ca="1" si="271"/>
        <v>1.7289748802614271</v>
      </c>
      <c r="G590" s="306">
        <f t="shared" ca="1" si="272"/>
        <v>8.7711373245580386</v>
      </c>
      <c r="H590" s="307">
        <f t="shared" ca="1" si="273"/>
        <v>-136.32313727260959</v>
      </c>
      <c r="I590" s="304">
        <f t="shared" ca="1" si="274"/>
        <v>136.6050167666364</v>
      </c>
      <c r="J590" s="306">
        <f t="shared" ca="1" si="275"/>
        <v>712.18513894933824</v>
      </c>
      <c r="K590" s="307">
        <f t="shared" ca="1" si="276"/>
        <v>-7.4589215108768165</v>
      </c>
      <c r="L590" s="304">
        <f t="shared" ca="1" si="261"/>
        <v>712.2241976024078</v>
      </c>
      <c r="M590" s="306">
        <f t="shared" ca="1" si="277"/>
        <v>-1.5065441090451159</v>
      </c>
      <c r="N590" s="304">
        <f t="shared" ca="1" si="278"/>
        <v>-86.318619098582019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4.0843000000000034</v>
      </c>
      <c r="T590" s="304">
        <f t="shared" ca="1" si="262"/>
        <v>40.066983000000036</v>
      </c>
      <c r="U590" s="311">
        <f t="shared" ca="1" si="263"/>
        <v>0</v>
      </c>
      <c r="V590" s="306">
        <f t="shared" ca="1" si="264"/>
        <v>1.225914058779717</v>
      </c>
      <c r="W590" s="304">
        <f t="shared" ca="1" si="265"/>
        <v>33.40807367506266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 t="e">
        <f t="shared" ca="1" si="266"/>
        <v>#N/A</v>
      </c>
      <c r="AG590" s="306">
        <f t="shared" ca="1" si="288"/>
        <v>1.6101549034161327</v>
      </c>
      <c r="AH590" s="304">
        <f t="shared" ca="1" si="289"/>
        <v>-8.1796022271984974</v>
      </c>
    </row>
    <row r="591" spans="1:34" x14ac:dyDescent="0.2">
      <c r="A591" s="347">
        <f t="shared" ca="1" si="267"/>
        <v>1E-4</v>
      </c>
      <c r="B591" s="304">
        <f t="shared" ca="1" si="268"/>
        <v>41.605700000000482</v>
      </c>
      <c r="D591" s="306">
        <f t="shared" ca="1" si="269"/>
        <v>-0.52519799804849421</v>
      </c>
      <c r="E591" s="307">
        <f t="shared" ca="1" si="270"/>
        <v>-1.6472457146687987</v>
      </c>
      <c r="F591" s="304">
        <f t="shared" ca="1" si="271"/>
        <v>1.7289451644424318</v>
      </c>
      <c r="G591" s="306">
        <f t="shared" ca="1" si="272"/>
        <v>8.7710848047582335</v>
      </c>
      <c r="H591" s="307">
        <f t="shared" ca="1" si="273"/>
        <v>-136.32330199718106</v>
      </c>
      <c r="I591" s="304">
        <f t="shared" ca="1" si="274"/>
        <v>136.60517777912699</v>
      </c>
      <c r="J591" s="306">
        <f t="shared" ca="1" si="275"/>
        <v>712.18513894933824</v>
      </c>
      <c r="K591" s="307">
        <f t="shared" ca="1" si="276"/>
        <v>-7.4725538328403065</v>
      </c>
      <c r="L591" s="304">
        <f t="shared" ca="1" si="261"/>
        <v>712.22434050028994</v>
      </c>
      <c r="M591" s="306">
        <f t="shared" ca="1" si="277"/>
        <v>-1.5065445701408542</v>
      </c>
      <c r="N591" s="304">
        <f t="shared" ca="1" si="278"/>
        <v>-86.318645517421771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4.0843000000000034</v>
      </c>
      <c r="T591" s="304">
        <f t="shared" ca="1" si="262"/>
        <v>40.066983000000036</v>
      </c>
      <c r="U591" s="311">
        <f t="shared" ca="1" si="263"/>
        <v>0</v>
      </c>
      <c r="V591" s="306">
        <f t="shared" ca="1" si="264"/>
        <v>1.2259157299866044</v>
      </c>
      <c r="W591" s="304">
        <f t="shared" ca="1" si="265"/>
        <v>33.408197972528853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 t="e">
        <f t="shared" ca="1" si="266"/>
        <v>#N/A</v>
      </c>
      <c r="AG591" s="306">
        <f t="shared" ca="1" si="288"/>
        <v>1.6101247606066362</v>
      </c>
      <c r="AH591" s="304">
        <f t="shared" ca="1" si="289"/>
        <v>-8.1796326604467424</v>
      </c>
    </row>
    <row r="592" spans="1:34" x14ac:dyDescent="0.2">
      <c r="A592" s="347">
        <f t="shared" ca="1" si="267"/>
        <v>1E-4</v>
      </c>
      <c r="B592" s="304">
        <f t="shared" ca="1" si="268"/>
        <v>41.605800000000485</v>
      </c>
      <c r="D592" s="306">
        <f t="shared" ca="1" si="269"/>
        <v>-0.52519618826526049</v>
      </c>
      <c r="E592" s="307">
        <f t="shared" ca="1" si="270"/>
        <v>-1.647215102308321</v>
      </c>
      <c r="F592" s="304">
        <f t="shared" ca="1" si="271"/>
        <v>1.7289154488988094</v>
      </c>
      <c r="G592" s="306">
        <f t="shared" ca="1" si="272"/>
        <v>8.7710322851394071</v>
      </c>
      <c r="H592" s="307">
        <f t="shared" ca="1" si="273"/>
        <v>-136.32346671869129</v>
      </c>
      <c r="I592" s="304">
        <f t="shared" ca="1" si="274"/>
        <v>136.60533878860332</v>
      </c>
      <c r="J592" s="306">
        <f t="shared" ca="1" si="275"/>
        <v>712.18513894933824</v>
      </c>
      <c r="K592" s="307">
        <f t="shared" ca="1" si="276"/>
        <v>-7.4861861712761</v>
      </c>
      <c r="L592" s="304">
        <f t="shared" ca="1" si="261"/>
        <v>712.22448365924583</v>
      </c>
      <c r="M592" s="306">
        <f t="shared" ca="1" si="277"/>
        <v>-1.5065450312327444</v>
      </c>
      <c r="N592" s="304">
        <f t="shared" ca="1" si="278"/>
        <v>-86.318671936041042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4.0843000000000034</v>
      </c>
      <c r="T592" s="304">
        <f t="shared" ca="1" si="262"/>
        <v>40.066983000000036</v>
      </c>
      <c r="U592" s="311">
        <f t="shared" ca="1" si="263"/>
        <v>0</v>
      </c>
      <c r="V592" s="306">
        <f t="shared" ca="1" si="264"/>
        <v>1.2259174011977891</v>
      </c>
      <c r="W592" s="304">
        <f t="shared" ca="1" si="265"/>
        <v>33.408322268945355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 t="e">
        <f t="shared" ca="1" si="266"/>
        <v>#N/A</v>
      </c>
      <c r="AG592" s="306">
        <f t="shared" ca="1" si="288"/>
        <v>1.6100946180496241</v>
      </c>
      <c r="AH592" s="304">
        <f t="shared" ca="1" si="289"/>
        <v>-8.1796630934380001</v>
      </c>
    </row>
    <row r="593" spans="1:34" x14ac:dyDescent="0.2">
      <c r="A593" s="347">
        <f t="shared" ca="1" si="267"/>
        <v>1E-4</v>
      </c>
      <c r="B593" s="304">
        <f t="shared" ca="1" si="268"/>
        <v>41.605900000000489</v>
      </c>
      <c r="D593" s="306">
        <f t="shared" ca="1" si="269"/>
        <v>-0.52519437846881722</v>
      </c>
      <c r="E593" s="307">
        <f t="shared" ca="1" si="270"/>
        <v>-1.6471844902062749</v>
      </c>
      <c r="F593" s="304">
        <f t="shared" ca="1" si="271"/>
        <v>1.7288857336305812</v>
      </c>
      <c r="G593" s="306">
        <f t="shared" ca="1" si="272"/>
        <v>8.7709797657015596</v>
      </c>
      <c r="H593" s="307">
        <f t="shared" ca="1" si="273"/>
        <v>-136.32363143714031</v>
      </c>
      <c r="I593" s="304">
        <f t="shared" ca="1" si="274"/>
        <v>136.60549979506541</v>
      </c>
      <c r="J593" s="306">
        <f t="shared" ca="1" si="275"/>
        <v>712.18513894933824</v>
      </c>
      <c r="K593" s="307">
        <f t="shared" ca="1" si="276"/>
        <v>-7.4998185261838914</v>
      </c>
      <c r="L593" s="304">
        <f t="shared" ca="1" si="261"/>
        <v>712.22462707927605</v>
      </c>
      <c r="M593" s="306">
        <f t="shared" ca="1" si="277"/>
        <v>-1.506545492320787</v>
      </c>
      <c r="N593" s="304">
        <f t="shared" ca="1" si="278"/>
        <v>-86.318698354439874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4.0843000000000034</v>
      </c>
      <c r="T593" s="304">
        <f t="shared" ca="1" si="262"/>
        <v>40.066983000000036</v>
      </c>
      <c r="U593" s="311">
        <f t="shared" ca="1" si="263"/>
        <v>0</v>
      </c>
      <c r="V593" s="306">
        <f t="shared" ca="1" si="264"/>
        <v>1.2259190724132731</v>
      </c>
      <c r="W593" s="304">
        <f t="shared" ca="1" si="265"/>
        <v>33.408446564312221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 t="e">
        <f t="shared" ca="1" si="266"/>
        <v>#N/A</v>
      </c>
      <c r="AG593" s="306">
        <f t="shared" ca="1" si="288"/>
        <v>1.6100644757451121</v>
      </c>
      <c r="AH593" s="304">
        <f t="shared" ca="1" si="289"/>
        <v>-8.179693526172251</v>
      </c>
    </row>
    <row r="594" spans="1:34" x14ac:dyDescent="0.2">
      <c r="A594" s="347">
        <f t="shared" ca="1" si="267"/>
        <v>1E-4</v>
      </c>
      <c r="B594" s="304">
        <f t="shared" ca="1" si="268"/>
        <v>41.606000000000492</v>
      </c>
      <c r="D594" s="306">
        <f t="shared" ca="1" si="269"/>
        <v>-0.5251925686591622</v>
      </c>
      <c r="E594" s="307">
        <f t="shared" ca="1" si="270"/>
        <v>-1.647153878362646</v>
      </c>
      <c r="F594" s="304">
        <f t="shared" ca="1" si="271"/>
        <v>1.7288560186377335</v>
      </c>
      <c r="G594" s="306">
        <f t="shared" ca="1" si="272"/>
        <v>8.7709272464446943</v>
      </c>
      <c r="H594" s="307">
        <f t="shared" ca="1" si="273"/>
        <v>-136.32379615252813</v>
      </c>
      <c r="I594" s="304">
        <f t="shared" ca="1" si="274"/>
        <v>136.6056607985133</v>
      </c>
      <c r="J594" s="306">
        <f t="shared" ca="1" si="275"/>
        <v>712.18513894933824</v>
      </c>
      <c r="K594" s="307">
        <f t="shared" ca="1" si="276"/>
        <v>-7.5134508975633745</v>
      </c>
      <c r="L594" s="304">
        <f t="shared" ca="1" si="261"/>
        <v>712.22477076038172</v>
      </c>
      <c r="M594" s="306">
        <f t="shared" ca="1" si="277"/>
        <v>-1.5065459534049817</v>
      </c>
      <c r="N594" s="304">
        <f t="shared" ca="1" si="278"/>
        <v>-86.318724772618225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4.0843000000000034</v>
      </c>
      <c r="T594" s="304">
        <f t="shared" ca="1" si="262"/>
        <v>40.066983000000036</v>
      </c>
      <c r="U594" s="311">
        <f t="shared" ca="1" si="263"/>
        <v>0</v>
      </c>
      <c r="V594" s="306">
        <f t="shared" ca="1" si="264"/>
        <v>1.2259207436330557</v>
      </c>
      <c r="W594" s="304">
        <f t="shared" ca="1" si="265"/>
        <v>33.408570858629453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 t="e">
        <f t="shared" ca="1" si="286"/>
        <v>#N/A</v>
      </c>
      <c r="AD594" s="323" t="e">
        <f t="shared" ca="1" si="287"/>
        <v>#N/A</v>
      </c>
      <c r="AE594" s="324" t="e">
        <f t="shared" ca="1" si="266"/>
        <v>#N/A</v>
      </c>
      <c r="AG594" s="306">
        <f t="shared" ca="1" si="288"/>
        <v>1.610034333693088</v>
      </c>
      <c r="AH594" s="304">
        <f t="shared" ca="1" si="289"/>
        <v>-8.1797239586495092</v>
      </c>
    </row>
    <row r="595" spans="1:34" x14ac:dyDescent="0.2">
      <c r="A595" s="347">
        <f t="shared" ca="1" si="267"/>
        <v>1E-4</v>
      </c>
      <c r="B595" s="304">
        <f t="shared" ca="1" si="268"/>
        <v>41.606100000000495</v>
      </c>
      <c r="D595" s="306">
        <f t="shared" ca="1" si="269"/>
        <v>-0.52519075883629995</v>
      </c>
      <c r="E595" s="307">
        <f t="shared" ca="1" si="270"/>
        <v>-1.6471232667774327</v>
      </c>
      <c r="F595" s="304">
        <f t="shared" ca="1" si="271"/>
        <v>1.7288263039202667</v>
      </c>
      <c r="G595" s="306">
        <f t="shared" ca="1" si="272"/>
        <v>8.7708747273688115</v>
      </c>
      <c r="H595" s="307">
        <f t="shared" ca="1" si="273"/>
        <v>-136.3239608648548</v>
      </c>
      <c r="I595" s="304">
        <f t="shared" ca="1" si="274"/>
        <v>136.60582179894701</v>
      </c>
      <c r="J595" s="306">
        <f t="shared" ca="1" si="275"/>
        <v>712.18513894933824</v>
      </c>
      <c r="K595" s="307">
        <f t="shared" ca="1" si="276"/>
        <v>-7.5270832854142435</v>
      </c>
      <c r="L595" s="304">
        <f t="shared" ca="1" si="261"/>
        <v>712.22491470256341</v>
      </c>
      <c r="M595" s="306">
        <f t="shared" ca="1" si="277"/>
        <v>-1.5065464144853287</v>
      </c>
      <c r="N595" s="304">
        <f t="shared" ca="1" si="278"/>
        <v>-86.318751190576123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4.0843000000000034</v>
      </c>
      <c r="T595" s="304">
        <f t="shared" ca="1" si="262"/>
        <v>40.066983000000036</v>
      </c>
      <c r="U595" s="311">
        <f t="shared" ca="1" si="263"/>
        <v>0</v>
      </c>
      <c r="V595" s="306">
        <f t="shared" ca="1" si="264"/>
        <v>1.2259224148571359</v>
      </c>
      <c r="W595" s="304">
        <f t="shared" ca="1" si="265"/>
        <v>33.408695151897014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 t="e">
        <f t="shared" ca="1" si="266"/>
        <v>#N/A</v>
      </c>
      <c r="AG595" s="306">
        <f t="shared" ca="1" si="288"/>
        <v>1.6100041918935499</v>
      </c>
      <c r="AH595" s="304">
        <f t="shared" ca="1" si="289"/>
        <v>-8.1797543908697765</v>
      </c>
    </row>
    <row r="596" spans="1:34" x14ac:dyDescent="0.2">
      <c r="A596" s="347">
        <f t="shared" ca="1" si="267"/>
        <v>1E-4</v>
      </c>
      <c r="B596" s="304">
        <f t="shared" ca="1" si="268"/>
        <v>41.606200000000499</v>
      </c>
      <c r="D596" s="306">
        <f t="shared" ca="1" si="269"/>
        <v>-0.52518894900022661</v>
      </c>
      <c r="E596" s="307">
        <f t="shared" ca="1" si="270"/>
        <v>-1.6470926554506473</v>
      </c>
      <c r="F596" s="304">
        <f t="shared" ca="1" si="271"/>
        <v>1.7287965894781918</v>
      </c>
      <c r="G596" s="306">
        <f t="shared" ca="1" si="272"/>
        <v>8.7708222084739109</v>
      </c>
      <c r="H596" s="307">
        <f t="shared" ca="1" si="273"/>
        <v>-136.32412557412033</v>
      </c>
      <c r="I596" s="304">
        <f t="shared" ca="1" si="274"/>
        <v>136.60598279636653</v>
      </c>
      <c r="J596" s="306">
        <f t="shared" ca="1" si="275"/>
        <v>712.18513894933824</v>
      </c>
      <c r="K596" s="307">
        <f t="shared" ca="1" si="276"/>
        <v>-7.5407156897361922</v>
      </c>
      <c r="L596" s="304">
        <f t="shared" ca="1" si="261"/>
        <v>712.22505890582204</v>
      </c>
      <c r="M596" s="306">
        <f t="shared" ca="1" si="277"/>
        <v>-1.5065468755618279</v>
      </c>
      <c r="N596" s="304">
        <f t="shared" ca="1" si="278"/>
        <v>-86.318777608313567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4.0843000000000034</v>
      </c>
      <c r="T596" s="304">
        <f t="shared" ca="1" si="262"/>
        <v>40.066983000000036</v>
      </c>
      <c r="U596" s="311">
        <f t="shared" ca="1" si="263"/>
        <v>0</v>
      </c>
      <c r="V596" s="306">
        <f t="shared" ca="1" si="264"/>
        <v>1.2259240860855147</v>
      </c>
      <c r="W596" s="304">
        <f t="shared" ca="1" si="265"/>
        <v>33.408819444114918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 t="e">
        <f t="shared" ca="1" si="266"/>
        <v>#N/A</v>
      </c>
      <c r="AG596" s="306">
        <f t="shared" ca="1" si="288"/>
        <v>1.6099740503465085</v>
      </c>
      <c r="AH596" s="304">
        <f t="shared" ca="1" si="289"/>
        <v>-8.1797848228330405</v>
      </c>
    </row>
    <row r="597" spans="1:34" x14ac:dyDescent="0.2">
      <c r="A597" s="347">
        <f t="shared" ca="1" si="267"/>
        <v>1E-4</v>
      </c>
      <c r="B597" s="304">
        <f t="shared" ca="1" si="268"/>
        <v>41.606300000000502</v>
      </c>
      <c r="D597" s="306">
        <f t="shared" ca="1" si="269"/>
        <v>-0.52518713915094539</v>
      </c>
      <c r="E597" s="307">
        <f t="shared" ca="1" si="270"/>
        <v>-1.647062044382281</v>
      </c>
      <c r="F597" s="304">
        <f t="shared" ca="1" si="271"/>
        <v>1.7287668753115017</v>
      </c>
      <c r="G597" s="306">
        <f t="shared" ca="1" si="272"/>
        <v>8.7707696897599963</v>
      </c>
      <c r="H597" s="307">
        <f t="shared" ca="1" si="273"/>
        <v>-136.32429028032476</v>
      </c>
      <c r="I597" s="304">
        <f t="shared" ca="1" si="274"/>
        <v>136.60614379077194</v>
      </c>
      <c r="J597" s="306">
        <f t="shared" ca="1" si="275"/>
        <v>712.18513894933824</v>
      </c>
      <c r="K597" s="307">
        <f t="shared" ca="1" si="276"/>
        <v>-7.5543481105289141</v>
      </c>
      <c r="L597" s="304">
        <f t="shared" ca="1" si="261"/>
        <v>712.22520337015828</v>
      </c>
      <c r="M597" s="306">
        <f t="shared" ca="1" si="277"/>
        <v>-1.5065473366344795</v>
      </c>
      <c r="N597" s="304">
        <f t="shared" ca="1" si="278"/>
        <v>-86.318804025830545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4.0843000000000034</v>
      </c>
      <c r="T597" s="304">
        <f t="shared" ca="1" si="262"/>
        <v>40.066983000000036</v>
      </c>
      <c r="U597" s="311">
        <f t="shared" ca="1" si="263"/>
        <v>0</v>
      </c>
      <c r="V597" s="306">
        <f t="shared" ca="1" si="264"/>
        <v>1.2259257573181925</v>
      </c>
      <c r="W597" s="304">
        <f t="shared" ca="1" si="265"/>
        <v>33.408943735283209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 t="e">
        <f t="shared" ca="1" si="266"/>
        <v>#N/A</v>
      </c>
      <c r="AG597" s="306">
        <f t="shared" ca="1" si="288"/>
        <v>1.6099439090519621</v>
      </c>
      <c r="AH597" s="304">
        <f t="shared" ca="1" si="289"/>
        <v>-8.1798152545393066</v>
      </c>
    </row>
    <row r="598" spans="1:34" x14ac:dyDescent="0.2">
      <c r="A598" s="347">
        <f t="shared" ca="1" si="267"/>
        <v>1E-4</v>
      </c>
      <c r="B598" s="304">
        <f t="shared" ca="1" si="268"/>
        <v>41.606400000000505</v>
      </c>
      <c r="D598" s="306">
        <f t="shared" ca="1" si="269"/>
        <v>-0.52518532928845552</v>
      </c>
      <c r="E598" s="307">
        <f t="shared" ca="1" si="270"/>
        <v>-1.6470314335723284</v>
      </c>
      <c r="F598" s="304">
        <f t="shared" ca="1" si="271"/>
        <v>1.7287371614201921</v>
      </c>
      <c r="G598" s="306">
        <f t="shared" ca="1" si="272"/>
        <v>8.7707171712270675</v>
      </c>
      <c r="H598" s="307">
        <f t="shared" ca="1" si="273"/>
        <v>-136.32445498346812</v>
      </c>
      <c r="I598" s="304">
        <f t="shared" ca="1" si="274"/>
        <v>136.60630478216325</v>
      </c>
      <c r="J598" s="306">
        <f t="shared" ca="1" si="275"/>
        <v>712.18513894933824</v>
      </c>
      <c r="K598" s="307">
        <f t="shared" ca="1" si="276"/>
        <v>-7.5679805477921036</v>
      </c>
      <c r="L598" s="304">
        <f t="shared" ca="1" si="261"/>
        <v>712.22534809557294</v>
      </c>
      <c r="M598" s="306">
        <f t="shared" ca="1" si="277"/>
        <v>-1.5065477977032833</v>
      </c>
      <c r="N598" s="304">
        <f t="shared" ca="1" si="278"/>
        <v>-86.318830443127069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4.0843000000000034</v>
      </c>
      <c r="T598" s="304">
        <f t="shared" ca="1" si="262"/>
        <v>40.066983000000036</v>
      </c>
      <c r="U598" s="311">
        <f t="shared" ca="1" si="263"/>
        <v>0</v>
      </c>
      <c r="V598" s="306">
        <f t="shared" ca="1" si="264"/>
        <v>1.225927428555168</v>
      </c>
      <c r="W598" s="304">
        <f t="shared" ca="1" si="265"/>
        <v>33.409068025401851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 t="e">
        <f t="shared" ca="1" si="266"/>
        <v>#N/A</v>
      </c>
      <c r="AG598" s="306">
        <f t="shared" ca="1" si="288"/>
        <v>1.6099137680098998</v>
      </c>
      <c r="AH598" s="304">
        <f t="shared" ca="1" si="289"/>
        <v>-8.1798456859885853</v>
      </c>
    </row>
    <row r="599" spans="1:34" x14ac:dyDescent="0.2">
      <c r="A599" s="347">
        <f t="shared" ca="1" si="267"/>
        <v>1E-4</v>
      </c>
      <c r="B599" s="304">
        <f t="shared" ca="1" si="268"/>
        <v>41.606500000000509</v>
      </c>
      <c r="D599" s="306">
        <f t="shared" ca="1" si="269"/>
        <v>-0.52518351941275931</v>
      </c>
      <c r="E599" s="307">
        <f t="shared" ca="1" si="270"/>
        <v>-1.6470008230207931</v>
      </c>
      <c r="F599" s="304">
        <f t="shared" ca="1" si="271"/>
        <v>1.7287074478042668</v>
      </c>
      <c r="G599" s="306">
        <f t="shared" ca="1" si="272"/>
        <v>8.7706646528751264</v>
      </c>
      <c r="H599" s="307">
        <f t="shared" ca="1" si="273"/>
        <v>-136.32461968355042</v>
      </c>
      <c r="I599" s="304">
        <f t="shared" ca="1" si="274"/>
        <v>136.60646577054052</v>
      </c>
      <c r="J599" s="306">
        <f t="shared" ca="1" si="275"/>
        <v>712.18513894933824</v>
      </c>
      <c r="K599" s="307">
        <f t="shared" ca="1" si="276"/>
        <v>-7.5816130015254544</v>
      </c>
      <c r="L599" s="304">
        <f t="shared" ca="1" si="261"/>
        <v>712.22549308206681</v>
      </c>
      <c r="M599" s="306">
        <f t="shared" ca="1" si="277"/>
        <v>-1.5065482587682397</v>
      </c>
      <c r="N599" s="304">
        <f t="shared" ca="1" si="278"/>
        <v>-86.318856860203155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4.0843000000000034</v>
      </c>
      <c r="T599" s="304">
        <f t="shared" ca="1" si="262"/>
        <v>40.066983000000036</v>
      </c>
      <c r="U599" s="311">
        <f t="shared" ca="1" si="263"/>
        <v>0</v>
      </c>
      <c r="V599" s="306">
        <f t="shared" ca="1" si="264"/>
        <v>1.2259290997964418</v>
      </c>
      <c r="W599" s="304">
        <f t="shared" ca="1" si="265"/>
        <v>33.409192314470872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 t="e">
        <f t="shared" ca="1" si="266"/>
        <v>#N/A</v>
      </c>
      <c r="AG599" s="306">
        <f t="shared" ca="1" si="288"/>
        <v>1.6098836272203236</v>
      </c>
      <c r="AH599" s="304">
        <f t="shared" ca="1" si="289"/>
        <v>-8.1798761171808696</v>
      </c>
    </row>
    <row r="600" spans="1:34" x14ac:dyDescent="0.2">
      <c r="A600" s="347">
        <f t="shared" ca="1" si="267"/>
        <v>1E-4</v>
      </c>
      <c r="B600" s="304">
        <f t="shared" ca="1" si="268"/>
        <v>41.606600000000512</v>
      </c>
      <c r="D600" s="306">
        <f t="shared" ca="1" si="269"/>
        <v>-0.5251817095238539</v>
      </c>
      <c r="E600" s="307">
        <f t="shared" ca="1" si="270"/>
        <v>-1.6469702127276733</v>
      </c>
      <c r="F600" s="304">
        <f t="shared" ca="1" si="271"/>
        <v>1.7286777344637245</v>
      </c>
      <c r="G600" s="306">
        <f t="shared" ca="1" si="272"/>
        <v>8.7706121347041748</v>
      </c>
      <c r="H600" s="307">
        <f t="shared" ca="1" si="273"/>
        <v>-136.32478438057169</v>
      </c>
      <c r="I600" s="304">
        <f t="shared" ca="1" si="274"/>
        <v>136.6066267559037</v>
      </c>
      <c r="J600" s="306">
        <f t="shared" ca="1" si="275"/>
        <v>712.18513894933824</v>
      </c>
      <c r="K600" s="307">
        <f t="shared" ca="1" si="276"/>
        <v>-7.5952454717286608</v>
      </c>
      <c r="L600" s="304">
        <f t="shared" ca="1" si="261"/>
        <v>712.22563832964056</v>
      </c>
      <c r="M600" s="306">
        <f t="shared" ca="1" si="277"/>
        <v>-1.5065487198293486</v>
      </c>
      <c r="N600" s="304">
        <f t="shared" ca="1" si="278"/>
        <v>-86.318883277058788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4.0843000000000034</v>
      </c>
      <c r="T600" s="304">
        <f t="shared" ca="1" si="262"/>
        <v>40.066983000000036</v>
      </c>
      <c r="U600" s="311">
        <f t="shared" ca="1" si="263"/>
        <v>0</v>
      </c>
      <c r="V600" s="306">
        <f t="shared" ca="1" si="264"/>
        <v>1.225930771042014</v>
      </c>
      <c r="W600" s="304">
        <f t="shared" ca="1" si="265"/>
        <v>33.409316602490229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 t="e">
        <f t="shared" ca="1" si="266"/>
        <v>#N/A</v>
      </c>
      <c r="AG600" s="306">
        <f t="shared" ca="1" si="288"/>
        <v>1.6098534866832388</v>
      </c>
      <c r="AH600" s="304">
        <f t="shared" ca="1" si="289"/>
        <v>-8.179906548116163</v>
      </c>
    </row>
    <row r="601" spans="1:34" x14ac:dyDescent="0.2">
      <c r="A601" s="347">
        <f t="shared" ca="1" si="267"/>
        <v>1E-4</v>
      </c>
      <c r="B601" s="304">
        <f t="shared" ca="1" si="268"/>
        <v>41.606700000000515</v>
      </c>
      <c r="D601" s="306">
        <f t="shared" ca="1" si="269"/>
        <v>-0.52517989962174128</v>
      </c>
      <c r="E601" s="307">
        <f t="shared" ca="1" si="270"/>
        <v>-1.6469396026929779</v>
      </c>
      <c r="F601" s="304">
        <f t="shared" ca="1" si="271"/>
        <v>1.7286480213985744</v>
      </c>
      <c r="G601" s="306">
        <f t="shared" ca="1" si="272"/>
        <v>8.7705596167142126</v>
      </c>
      <c r="H601" s="307">
        <f t="shared" ca="1" si="273"/>
        <v>-136.32494907453196</v>
      </c>
      <c r="I601" s="304">
        <f t="shared" ca="1" si="274"/>
        <v>136.60678773825285</v>
      </c>
      <c r="J601" s="306">
        <f t="shared" ca="1" si="275"/>
        <v>712.18513894933824</v>
      </c>
      <c r="K601" s="307">
        <f t="shared" ca="1" si="276"/>
        <v>-7.6088779584014157</v>
      </c>
      <c r="L601" s="304">
        <f t="shared" ca="1" si="261"/>
        <v>712.22578383829523</v>
      </c>
      <c r="M601" s="306">
        <f t="shared" ca="1" si="277"/>
        <v>-1.5065491808866101</v>
      </c>
      <c r="N601" s="304">
        <f t="shared" ca="1" si="278"/>
        <v>-86.318909693693982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4.0843000000000034</v>
      </c>
      <c r="T601" s="304">
        <f t="shared" ca="1" si="262"/>
        <v>40.066983000000036</v>
      </c>
      <c r="U601" s="311">
        <f t="shared" ca="1" si="263"/>
        <v>0</v>
      </c>
      <c r="V601" s="306">
        <f t="shared" ca="1" si="264"/>
        <v>1.2259324422918845</v>
      </c>
      <c r="W601" s="304">
        <f t="shared" ca="1" si="265"/>
        <v>33.409440889459958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 t="e">
        <f t="shared" ca="1" si="266"/>
        <v>#N/A</v>
      </c>
      <c r="AG601" s="306">
        <f t="shared" ca="1" si="288"/>
        <v>1.6098233463986436</v>
      </c>
      <c r="AH601" s="304">
        <f t="shared" ca="1" si="289"/>
        <v>-8.1799369787944567</v>
      </c>
    </row>
    <row r="602" spans="1:34" x14ac:dyDescent="0.2">
      <c r="A602" s="347">
        <f t="shared" ca="1" si="267"/>
        <v>1E-4</v>
      </c>
      <c r="B602" s="304">
        <f t="shared" ca="1" si="268"/>
        <v>41.606800000000518</v>
      </c>
      <c r="D602" s="306">
        <f t="shared" ca="1" si="269"/>
        <v>-0.5251780897064211</v>
      </c>
      <c r="E602" s="307">
        <f t="shared" ca="1" si="270"/>
        <v>-1.6469089929166962</v>
      </c>
      <c r="F602" s="304">
        <f t="shared" ca="1" si="271"/>
        <v>1.7286183086088067</v>
      </c>
      <c r="G602" s="306">
        <f t="shared" ca="1" si="272"/>
        <v>8.7705070989052416</v>
      </c>
      <c r="H602" s="307">
        <f t="shared" ca="1" si="273"/>
        <v>-136.32511376543124</v>
      </c>
      <c r="I602" s="304">
        <f t="shared" ca="1" si="274"/>
        <v>136.60694871758801</v>
      </c>
      <c r="J602" s="306">
        <f t="shared" ca="1" si="275"/>
        <v>712.18513894933824</v>
      </c>
      <c r="K602" s="307">
        <f t="shared" ca="1" si="276"/>
        <v>-7.6225104615434143</v>
      </c>
      <c r="L602" s="304">
        <f t="shared" ca="1" si="261"/>
        <v>712.22592960803149</v>
      </c>
      <c r="M602" s="306">
        <f t="shared" ca="1" si="277"/>
        <v>-1.5065496419400242</v>
      </c>
      <c r="N602" s="304">
        <f t="shared" ca="1" si="278"/>
        <v>-86.318936110108751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4.0843000000000034</v>
      </c>
      <c r="T602" s="304">
        <f t="shared" ca="1" si="262"/>
        <v>40.066983000000036</v>
      </c>
      <c r="U602" s="311">
        <f t="shared" ca="1" si="263"/>
        <v>0</v>
      </c>
      <c r="V602" s="306">
        <f t="shared" ca="1" si="264"/>
        <v>1.2259341135460531</v>
      </c>
      <c r="W602" s="304">
        <f t="shared" ca="1" si="265"/>
        <v>33.409565175380052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 t="e">
        <f t="shared" ca="1" si="266"/>
        <v>#N/A</v>
      </c>
      <c r="AG602" s="306">
        <f t="shared" ca="1" si="288"/>
        <v>1.6097932063665361</v>
      </c>
      <c r="AH602" s="304">
        <f t="shared" ca="1" si="289"/>
        <v>-8.1799674092157613</v>
      </c>
    </row>
    <row r="603" spans="1:34" x14ac:dyDescent="0.2">
      <c r="A603" s="347">
        <f t="shared" ca="1" si="267"/>
        <v>1E-4</v>
      </c>
      <c r="B603" s="304">
        <f t="shared" ca="1" si="268"/>
        <v>41.606900000000522</v>
      </c>
      <c r="D603" s="306">
        <f t="shared" ca="1" si="269"/>
        <v>-0.52517627977789361</v>
      </c>
      <c r="E603" s="307">
        <f t="shared" ca="1" si="270"/>
        <v>-1.6468783833988319</v>
      </c>
      <c r="F603" s="304">
        <f t="shared" ca="1" si="271"/>
        <v>1.7285885960944258</v>
      </c>
      <c r="G603" s="306">
        <f t="shared" ca="1" si="272"/>
        <v>8.7704545812772636</v>
      </c>
      <c r="H603" s="307">
        <f t="shared" ca="1" si="273"/>
        <v>-136.32527845326959</v>
      </c>
      <c r="I603" s="304">
        <f t="shared" ca="1" si="274"/>
        <v>136.60710969390919</v>
      </c>
      <c r="J603" s="306">
        <f t="shared" ca="1" si="275"/>
        <v>712.18513894933824</v>
      </c>
      <c r="K603" s="307">
        <f t="shared" ca="1" si="276"/>
        <v>-7.6361429811543493</v>
      </c>
      <c r="L603" s="304">
        <f t="shared" ca="1" si="261"/>
        <v>712.22607563885003</v>
      </c>
      <c r="M603" s="306">
        <f t="shared" ca="1" si="277"/>
        <v>-1.5065501029895907</v>
      </c>
      <c r="N603" s="304">
        <f t="shared" ca="1" si="278"/>
        <v>-86.318962526303054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4.0843000000000034</v>
      </c>
      <c r="T603" s="304">
        <f t="shared" ca="1" si="262"/>
        <v>40.066983000000036</v>
      </c>
      <c r="U603" s="311">
        <f t="shared" ca="1" si="263"/>
        <v>0</v>
      </c>
      <c r="V603" s="306">
        <f t="shared" ca="1" si="264"/>
        <v>1.2259357848045198</v>
      </c>
      <c r="W603" s="304">
        <f t="shared" ca="1" si="265"/>
        <v>33.409689460250526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 t="e">
        <f t="shared" ca="1" si="266"/>
        <v>#N/A</v>
      </c>
      <c r="AG603" s="306">
        <f t="shared" ca="1" si="288"/>
        <v>1.60976306658692</v>
      </c>
      <c r="AH603" s="304">
        <f t="shared" ca="1" si="289"/>
        <v>-8.1799978393800714</v>
      </c>
    </row>
    <row r="604" spans="1:34" x14ac:dyDescent="0.2">
      <c r="A604" s="347">
        <f t="shared" ca="1" si="267"/>
        <v>1E-4</v>
      </c>
      <c r="B604" s="304">
        <f t="shared" ca="1" si="268"/>
        <v>41.607000000000525</v>
      </c>
      <c r="D604" s="306">
        <f t="shared" ca="1" si="269"/>
        <v>-0.52517446983616189</v>
      </c>
      <c r="E604" s="307">
        <f t="shared" ca="1" si="270"/>
        <v>-1.6468477741393794</v>
      </c>
      <c r="F604" s="304">
        <f t="shared" ca="1" si="271"/>
        <v>1.7285588838554278</v>
      </c>
      <c r="G604" s="306">
        <f t="shared" ca="1" si="272"/>
        <v>8.7704020638302804</v>
      </c>
      <c r="H604" s="307">
        <f t="shared" ca="1" si="273"/>
        <v>-136.32544313804701</v>
      </c>
      <c r="I604" s="304">
        <f t="shared" ca="1" si="274"/>
        <v>136.60727066721643</v>
      </c>
      <c r="J604" s="306">
        <f t="shared" ca="1" si="275"/>
        <v>712.18513894933824</v>
      </c>
      <c r="K604" s="307">
        <f t="shared" ca="1" si="276"/>
        <v>-7.6497755172339152</v>
      </c>
      <c r="L604" s="304">
        <f t="shared" ca="1" si="261"/>
        <v>712.22622193075165</v>
      </c>
      <c r="M604" s="306">
        <f t="shared" ca="1" si="277"/>
        <v>-1.5065505640353101</v>
      </c>
      <c r="N604" s="304">
        <f t="shared" ca="1" si="278"/>
        <v>-86.318988942276931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4.0843000000000034</v>
      </c>
      <c r="T604" s="304">
        <f t="shared" ca="1" si="262"/>
        <v>40.066983000000036</v>
      </c>
      <c r="U604" s="311">
        <f t="shared" ca="1" si="263"/>
        <v>0</v>
      </c>
      <c r="V604" s="306">
        <f t="shared" ca="1" si="264"/>
        <v>1.2259374560672851</v>
      </c>
      <c r="W604" s="304">
        <f t="shared" ca="1" si="265"/>
        <v>33.409813744071364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 t="e">
        <f t="shared" ca="1" si="286"/>
        <v>#N/A</v>
      </c>
      <c r="AD604" s="323" t="e">
        <f t="shared" ca="1" si="287"/>
        <v>#N/A</v>
      </c>
      <c r="AE604" s="324" t="e">
        <f t="shared" ca="1" si="266"/>
        <v>#N/A</v>
      </c>
      <c r="AG604" s="306">
        <f t="shared" ca="1" si="288"/>
        <v>1.6097329270597864</v>
      </c>
      <c r="AH604" s="304">
        <f t="shared" ca="1" si="289"/>
        <v>-8.1800282692873925</v>
      </c>
    </row>
    <row r="605" spans="1:34" x14ac:dyDescent="0.2">
      <c r="A605" s="347">
        <f t="shared" ca="1" si="267"/>
        <v>1E-4</v>
      </c>
      <c r="B605" s="304">
        <f t="shared" ca="1" si="268"/>
        <v>41.607100000000528</v>
      </c>
      <c r="D605" s="306">
        <f t="shared" ca="1" si="269"/>
        <v>-0.52517265988122253</v>
      </c>
      <c r="E605" s="307">
        <f t="shared" ca="1" si="270"/>
        <v>-1.6468171651383461</v>
      </c>
      <c r="F605" s="304">
        <f t="shared" ca="1" si="271"/>
        <v>1.728529171891819</v>
      </c>
      <c r="G605" s="306">
        <f t="shared" ca="1" si="272"/>
        <v>8.770349546564292</v>
      </c>
      <c r="H605" s="307">
        <f t="shared" ca="1" si="273"/>
        <v>-136.32560781976352</v>
      </c>
      <c r="I605" s="304">
        <f t="shared" ca="1" si="274"/>
        <v>136.60743163750971</v>
      </c>
      <c r="J605" s="306">
        <f t="shared" ca="1" si="275"/>
        <v>712.18513894933824</v>
      </c>
      <c r="K605" s="307">
        <f t="shared" ca="1" si="276"/>
        <v>-7.6634080697818057</v>
      </c>
      <c r="L605" s="304">
        <f t="shared" ca="1" si="261"/>
        <v>712.22636848373725</v>
      </c>
      <c r="M605" s="306">
        <f t="shared" ca="1" si="277"/>
        <v>-1.5065510250771821</v>
      </c>
      <c r="N605" s="304">
        <f t="shared" ca="1" si="278"/>
        <v>-86.319015358030384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4.0843000000000034</v>
      </c>
      <c r="T605" s="304">
        <f t="shared" ca="1" si="262"/>
        <v>40.066983000000036</v>
      </c>
      <c r="U605" s="311">
        <f t="shared" ca="1" si="263"/>
        <v>0</v>
      </c>
      <c r="V605" s="306">
        <f t="shared" ca="1" si="264"/>
        <v>1.2259391273343478</v>
      </c>
      <c r="W605" s="304">
        <f t="shared" ca="1" si="265"/>
        <v>33.409938026842553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 t="e">
        <f t="shared" ca="1" si="266"/>
        <v>#N/A</v>
      </c>
      <c r="AG605" s="306">
        <f t="shared" ca="1" si="288"/>
        <v>1.6097027877851424</v>
      </c>
      <c r="AH605" s="304">
        <f t="shared" ca="1" si="289"/>
        <v>-8.1800586989377209</v>
      </c>
    </row>
    <row r="606" spans="1:34" x14ac:dyDescent="0.2">
      <c r="A606" s="347">
        <f t="shared" ca="1" si="267"/>
        <v>1E-4</v>
      </c>
      <c r="B606" s="304">
        <f t="shared" ca="1" si="268"/>
        <v>41.607200000000532</v>
      </c>
      <c r="D606" s="306">
        <f t="shared" ca="1" si="269"/>
        <v>-0.52517084991307805</v>
      </c>
      <c r="E606" s="307">
        <f t="shared" ca="1" si="270"/>
        <v>-1.64678655639573</v>
      </c>
      <c r="F606" s="304">
        <f t="shared" ca="1" si="271"/>
        <v>1.7284994602035986</v>
      </c>
      <c r="G606" s="306">
        <f t="shared" ca="1" si="272"/>
        <v>8.7702970294793001</v>
      </c>
      <c r="H606" s="307">
        <f t="shared" ca="1" si="273"/>
        <v>-136.32577249841916</v>
      </c>
      <c r="I606" s="304">
        <f t="shared" ca="1" si="274"/>
        <v>136.60759260478909</v>
      </c>
      <c r="J606" s="306">
        <f t="shared" ca="1" si="275"/>
        <v>712.18513894933824</v>
      </c>
      <c r="K606" s="307">
        <f t="shared" ca="1" si="276"/>
        <v>-7.677040638797715</v>
      </c>
      <c r="L606" s="304">
        <f t="shared" ca="1" si="261"/>
        <v>712.22651529780751</v>
      </c>
      <c r="M606" s="306">
        <f t="shared" ca="1" si="277"/>
        <v>-1.5065514861152067</v>
      </c>
      <c r="N606" s="304">
        <f t="shared" ca="1" si="278"/>
        <v>-86.319041773563384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4.0843000000000034</v>
      </c>
      <c r="T606" s="304">
        <f t="shared" ca="1" si="262"/>
        <v>40.066983000000036</v>
      </c>
      <c r="U606" s="311">
        <f t="shared" ca="1" si="263"/>
        <v>0</v>
      </c>
      <c r="V606" s="306">
        <f t="shared" ca="1" si="264"/>
        <v>1.2259407986057094</v>
      </c>
      <c r="W606" s="304">
        <f t="shared" ca="1" si="265"/>
        <v>33.410062308564136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 t="e">
        <f t="shared" ca="1" si="266"/>
        <v>#N/A</v>
      </c>
      <c r="AG606" s="306">
        <f t="shared" ca="1" si="288"/>
        <v>1.6096726487629898</v>
      </c>
      <c r="AH606" s="304">
        <f t="shared" ca="1" si="289"/>
        <v>-8.1800891283310548</v>
      </c>
    </row>
    <row r="607" spans="1:34" x14ac:dyDescent="0.2">
      <c r="A607" s="347">
        <f t="shared" ca="1" si="267"/>
        <v>1E-4</v>
      </c>
      <c r="B607" s="304">
        <f t="shared" ca="1" si="268"/>
        <v>41.607300000000535</v>
      </c>
      <c r="D607" s="306">
        <f t="shared" ca="1" si="269"/>
        <v>-0.52516903993172959</v>
      </c>
      <c r="E607" s="307">
        <f t="shared" ca="1" si="270"/>
        <v>-1.6467559479115259</v>
      </c>
      <c r="F607" s="304">
        <f t="shared" ca="1" si="271"/>
        <v>1.728469748790763</v>
      </c>
      <c r="G607" s="306">
        <f t="shared" ca="1" si="272"/>
        <v>8.7702445125753066</v>
      </c>
      <c r="H607" s="307">
        <f t="shared" ca="1" si="273"/>
        <v>-136.32593717401394</v>
      </c>
      <c r="I607" s="304">
        <f t="shared" ca="1" si="274"/>
        <v>136.60775356905461</v>
      </c>
      <c r="J607" s="306">
        <f t="shared" ca="1" si="275"/>
        <v>712.18513894933824</v>
      </c>
      <c r="K607" s="307">
        <f t="shared" ca="1" si="276"/>
        <v>-7.6906732242813369</v>
      </c>
      <c r="L607" s="304">
        <f t="shared" ca="1" si="261"/>
        <v>712.22666237296323</v>
      </c>
      <c r="M607" s="306">
        <f t="shared" ca="1" si="277"/>
        <v>-1.5065519471493845</v>
      </c>
      <c r="N607" s="304">
        <f t="shared" ca="1" si="278"/>
        <v>-86.319068188875988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4.0843000000000034</v>
      </c>
      <c r="T607" s="304">
        <f t="shared" ca="1" si="262"/>
        <v>40.066983000000036</v>
      </c>
      <c r="U607" s="311">
        <f t="shared" ca="1" si="263"/>
        <v>0</v>
      </c>
      <c r="V607" s="306">
        <f t="shared" ca="1" si="264"/>
        <v>1.2259424698813688</v>
      </c>
      <c r="W607" s="304">
        <f t="shared" ca="1" si="265"/>
        <v>33.410186589236083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 t="e">
        <f t="shared" ca="1" si="266"/>
        <v>#N/A</v>
      </c>
      <c r="AG607" s="306">
        <f t="shared" ca="1" si="288"/>
        <v>1.6096425099933196</v>
      </c>
      <c r="AH607" s="304">
        <f t="shared" ca="1" si="289"/>
        <v>-8.1801195574674015</v>
      </c>
    </row>
    <row r="608" spans="1:34" x14ac:dyDescent="0.2">
      <c r="A608" s="347">
        <f t="shared" ca="1" si="267"/>
        <v>1E-4</v>
      </c>
      <c r="B608" s="304">
        <f t="shared" ca="1" si="268"/>
        <v>41.607400000000538</v>
      </c>
      <c r="D608" s="306">
        <f t="shared" ca="1" si="269"/>
        <v>-0.52516722993717402</v>
      </c>
      <c r="E608" s="307">
        <f t="shared" ca="1" si="270"/>
        <v>-1.6467253396857391</v>
      </c>
      <c r="F608" s="304">
        <f t="shared" ca="1" si="271"/>
        <v>1.7284400376533162</v>
      </c>
      <c r="G608" s="306">
        <f t="shared" ca="1" si="272"/>
        <v>8.7701919958523131</v>
      </c>
      <c r="H608" s="307">
        <f t="shared" ca="1" si="273"/>
        <v>-136.32610184654791</v>
      </c>
      <c r="I608" s="304">
        <f t="shared" ca="1" si="274"/>
        <v>136.60791453030629</v>
      </c>
      <c r="J608" s="306">
        <f t="shared" ca="1" si="275"/>
        <v>712.18513894933824</v>
      </c>
      <c r="K608" s="307">
        <f t="shared" ca="1" si="276"/>
        <v>-7.7043058262323649</v>
      </c>
      <c r="L608" s="304">
        <f t="shared" ca="1" si="261"/>
        <v>712.22680970920521</v>
      </c>
      <c r="M608" s="306">
        <f t="shared" ca="1" si="277"/>
        <v>-1.5065524081797148</v>
      </c>
      <c r="N608" s="304">
        <f t="shared" ca="1" si="278"/>
        <v>-86.319094603968139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4.0843000000000034</v>
      </c>
      <c r="T608" s="304">
        <f t="shared" ca="1" si="262"/>
        <v>40.066983000000036</v>
      </c>
      <c r="U608" s="311">
        <f t="shared" ca="1" si="263"/>
        <v>0</v>
      </c>
      <c r="V608" s="306">
        <f t="shared" ca="1" si="264"/>
        <v>1.2259441411613259</v>
      </c>
      <c r="W608" s="304">
        <f t="shared" ca="1" si="265"/>
        <v>33.41031086885841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 t="e">
        <f t="shared" ca="1" si="266"/>
        <v>#N/A</v>
      </c>
      <c r="AG608" s="306">
        <f t="shared" ca="1" si="288"/>
        <v>1.6096123714761372</v>
      </c>
      <c r="AH608" s="304">
        <f t="shared" ca="1" si="289"/>
        <v>-8.1801499863467555</v>
      </c>
    </row>
    <row r="609" spans="1:34" x14ac:dyDescent="0.2">
      <c r="A609" s="347">
        <f t="shared" ca="1" si="267"/>
        <v>1E-4</v>
      </c>
      <c r="B609" s="304">
        <f t="shared" ca="1" si="268"/>
        <v>41.607500000000542</v>
      </c>
      <c r="D609" s="306">
        <f t="shared" ca="1" si="269"/>
        <v>-0.5251654199294159</v>
      </c>
      <c r="E609" s="307">
        <f t="shared" ca="1" si="270"/>
        <v>-1.6466947317183624</v>
      </c>
      <c r="F609" s="304">
        <f t="shared" ca="1" si="271"/>
        <v>1.7284103267912541</v>
      </c>
      <c r="G609" s="306">
        <f t="shared" ca="1" si="272"/>
        <v>8.7701394793103198</v>
      </c>
      <c r="H609" s="307">
        <f t="shared" ca="1" si="273"/>
        <v>-136.32626651602109</v>
      </c>
      <c r="I609" s="304">
        <f t="shared" ca="1" si="274"/>
        <v>136.60807548854413</v>
      </c>
      <c r="J609" s="306">
        <f t="shared" ca="1" si="275"/>
        <v>712.18513894933824</v>
      </c>
      <c r="K609" s="307">
        <f t="shared" ca="1" si="276"/>
        <v>-7.7179384446504935</v>
      </c>
      <c r="L609" s="304">
        <f t="shared" ca="1" si="261"/>
        <v>712.22695730653413</v>
      </c>
      <c r="M609" s="306">
        <f t="shared" ca="1" si="277"/>
        <v>-1.5065528692061982</v>
      </c>
      <c r="N609" s="304">
        <f t="shared" ca="1" si="278"/>
        <v>-86.31912101883988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4.0843000000000034</v>
      </c>
      <c r="T609" s="304">
        <f t="shared" ca="1" si="262"/>
        <v>40.066983000000036</v>
      </c>
      <c r="U609" s="311">
        <f t="shared" ca="1" si="263"/>
        <v>0</v>
      </c>
      <c r="V609" s="306">
        <f t="shared" ca="1" si="264"/>
        <v>1.2259458124455815</v>
      </c>
      <c r="W609" s="304">
        <f t="shared" ca="1" si="265"/>
        <v>33.410435147431116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 t="e">
        <f t="shared" ca="1" si="266"/>
        <v>#N/A</v>
      </c>
      <c r="AG609" s="306">
        <f t="shared" ca="1" si="288"/>
        <v>1.6095822332114409</v>
      </c>
      <c r="AH609" s="304">
        <f t="shared" ca="1" si="289"/>
        <v>-8.1801804149691222</v>
      </c>
    </row>
    <row r="610" spans="1:34" x14ac:dyDescent="0.2">
      <c r="A610" s="347">
        <f t="shared" ca="1" si="267"/>
        <v>1E-4</v>
      </c>
      <c r="B610" s="304">
        <f t="shared" ca="1" si="268"/>
        <v>41.607600000000545</v>
      </c>
      <c r="D610" s="306">
        <f t="shared" ca="1" si="269"/>
        <v>-0.52516360990845201</v>
      </c>
      <c r="E610" s="307">
        <f t="shared" ca="1" si="270"/>
        <v>-1.6466641240093995</v>
      </c>
      <c r="F610" s="304">
        <f t="shared" ca="1" si="271"/>
        <v>1.7283806162045789</v>
      </c>
      <c r="G610" s="306">
        <f t="shared" ca="1" si="272"/>
        <v>8.7700869629493283</v>
      </c>
      <c r="H610" s="307">
        <f t="shared" ca="1" si="273"/>
        <v>-136.32643118243348</v>
      </c>
      <c r="I610" s="304">
        <f t="shared" ca="1" si="274"/>
        <v>136.60823644376816</v>
      </c>
      <c r="J610" s="306">
        <f t="shared" ca="1" si="275"/>
        <v>712.18513894933824</v>
      </c>
      <c r="K610" s="307">
        <f t="shared" ca="1" si="276"/>
        <v>-7.7315710795354162</v>
      </c>
      <c r="L610" s="304">
        <f t="shared" ca="1" si="261"/>
        <v>712.22710516495101</v>
      </c>
      <c r="M610" s="306">
        <f t="shared" ca="1" si="277"/>
        <v>-1.5065533302288345</v>
      </c>
      <c r="N610" s="304">
        <f t="shared" ca="1" si="278"/>
        <v>-86.31914743349121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4.0843000000000034</v>
      </c>
      <c r="T610" s="304">
        <f t="shared" ca="1" si="262"/>
        <v>40.066983000000036</v>
      </c>
      <c r="U610" s="311">
        <f t="shared" ca="1" si="263"/>
        <v>0</v>
      </c>
      <c r="V610" s="306">
        <f t="shared" ca="1" si="264"/>
        <v>1.2259474837341349</v>
      </c>
      <c r="W610" s="304">
        <f t="shared" ca="1" si="265"/>
        <v>33.410559424954194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 t="e">
        <f t="shared" ca="1" si="266"/>
        <v>#N/A</v>
      </c>
      <c r="AG610" s="306">
        <f t="shared" ca="1" si="288"/>
        <v>1.6095520951992288</v>
      </c>
      <c r="AH610" s="304">
        <f t="shared" ca="1" si="289"/>
        <v>-8.180210843334498</v>
      </c>
    </row>
    <row r="611" spans="1:34" x14ac:dyDescent="0.2">
      <c r="A611" s="347">
        <f t="shared" ca="1" si="267"/>
        <v>1E-4</v>
      </c>
      <c r="B611" s="304">
        <f t="shared" ca="1" si="268"/>
        <v>41.607700000000548</v>
      </c>
      <c r="D611" s="306">
        <f t="shared" ca="1" si="269"/>
        <v>-0.52516179987428502</v>
      </c>
      <c r="E611" s="307">
        <f t="shared" ca="1" si="270"/>
        <v>-1.6466335165588539</v>
      </c>
      <c r="F611" s="304">
        <f t="shared" ca="1" si="271"/>
        <v>1.7283509058932958</v>
      </c>
      <c r="G611" s="306">
        <f t="shared" ca="1" si="272"/>
        <v>8.7700344467693405</v>
      </c>
      <c r="H611" s="307">
        <f t="shared" ca="1" si="273"/>
        <v>-136.32659584578514</v>
      </c>
      <c r="I611" s="304">
        <f t="shared" ca="1" si="274"/>
        <v>136.60839739597841</v>
      </c>
      <c r="J611" s="306">
        <f t="shared" ca="1" si="275"/>
        <v>712.18513894933824</v>
      </c>
      <c r="K611" s="307">
        <f t="shared" ca="1" si="276"/>
        <v>-7.7452037308868276</v>
      </c>
      <c r="L611" s="304">
        <f t="shared" ca="1" si="261"/>
        <v>712.22725328445631</v>
      </c>
      <c r="M611" s="306">
        <f t="shared" ca="1" si="277"/>
        <v>-1.5065537912476237</v>
      </c>
      <c r="N611" s="304">
        <f t="shared" ca="1" si="278"/>
        <v>-86.319173847922102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4.0843000000000034</v>
      </c>
      <c r="T611" s="304">
        <f t="shared" ca="1" si="262"/>
        <v>40.066983000000036</v>
      </c>
      <c r="U611" s="311">
        <f t="shared" ca="1" si="263"/>
        <v>0</v>
      </c>
      <c r="V611" s="306">
        <f t="shared" ca="1" si="264"/>
        <v>1.2259491550269865</v>
      </c>
      <c r="W611" s="304">
        <f t="shared" ca="1" si="265"/>
        <v>33.410683701427658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 t="e">
        <f t="shared" ca="1" si="266"/>
        <v>#N/A</v>
      </c>
      <c r="AG611" s="306">
        <f t="shared" ca="1" si="288"/>
        <v>1.6095219574395063</v>
      </c>
      <c r="AH611" s="304">
        <f t="shared" ca="1" si="289"/>
        <v>-8.1802412714428829</v>
      </c>
    </row>
    <row r="612" spans="1:34" x14ac:dyDescent="0.2">
      <c r="A612" s="347">
        <f t="shared" ca="1" si="267"/>
        <v>1E-4</v>
      </c>
      <c r="B612" s="304">
        <f t="shared" ca="1" si="268"/>
        <v>41.607800000000552</v>
      </c>
      <c r="D612" s="306">
        <f t="shared" ca="1" si="269"/>
        <v>-0.52515998982691581</v>
      </c>
      <c r="E612" s="307">
        <f t="shared" ca="1" si="270"/>
        <v>-1.6466029093667185</v>
      </c>
      <c r="F612" s="304">
        <f t="shared" ca="1" si="271"/>
        <v>1.7283211958573985</v>
      </c>
      <c r="G612" s="306">
        <f t="shared" ca="1" si="272"/>
        <v>8.7699819307703581</v>
      </c>
      <c r="H612" s="307">
        <f t="shared" ca="1" si="273"/>
        <v>-136.32676050607608</v>
      </c>
      <c r="I612" s="304">
        <f t="shared" ca="1" si="274"/>
        <v>136.60855834517491</v>
      </c>
      <c r="J612" s="306">
        <f t="shared" ca="1" si="275"/>
        <v>712.18513894933824</v>
      </c>
      <c r="K612" s="307">
        <f t="shared" ca="1" si="276"/>
        <v>-7.7588363987044202</v>
      </c>
      <c r="L612" s="304">
        <f t="shared" ca="1" si="261"/>
        <v>712.22740166505116</v>
      </c>
      <c r="M612" s="306">
        <f t="shared" ca="1" si="277"/>
        <v>-1.5065542522625661</v>
      </c>
      <c r="N612" s="304">
        <f t="shared" ca="1" si="278"/>
        <v>-86.319200262132597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4.0843000000000034</v>
      </c>
      <c r="T612" s="304">
        <f t="shared" ca="1" si="262"/>
        <v>40.066983000000036</v>
      </c>
      <c r="U612" s="311">
        <f t="shared" ca="1" si="263"/>
        <v>0</v>
      </c>
      <c r="V612" s="306">
        <f t="shared" ca="1" si="264"/>
        <v>1.2259508263241361</v>
      </c>
      <c r="W612" s="304">
        <f t="shared" ca="1" si="265"/>
        <v>33.410807976851494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 t="e">
        <f t="shared" ca="1" si="266"/>
        <v>#N/A</v>
      </c>
      <c r="AG612" s="306">
        <f t="shared" ca="1" si="288"/>
        <v>1.6094918199322681</v>
      </c>
      <c r="AH612" s="304">
        <f t="shared" ca="1" si="289"/>
        <v>-8.1802716992942806</v>
      </c>
    </row>
    <row r="613" spans="1:34" x14ac:dyDescent="0.2">
      <c r="A613" s="347">
        <f t="shared" ca="1" si="267"/>
        <v>1E-4</v>
      </c>
      <c r="B613" s="304">
        <f t="shared" ca="1" si="268"/>
        <v>41.607900000000555</v>
      </c>
      <c r="D613" s="306">
        <f t="shared" ca="1" si="269"/>
        <v>-0.52515817976634116</v>
      </c>
      <c r="E613" s="307">
        <f t="shared" ca="1" si="270"/>
        <v>-1.6465723024329986</v>
      </c>
      <c r="F613" s="304">
        <f t="shared" ca="1" si="271"/>
        <v>1.7282914860968919</v>
      </c>
      <c r="G613" s="306">
        <f t="shared" ca="1" si="272"/>
        <v>8.7699294149523812</v>
      </c>
      <c r="H613" s="307">
        <f t="shared" ca="1" si="273"/>
        <v>-136.32692516330633</v>
      </c>
      <c r="I613" s="304">
        <f t="shared" ca="1" si="274"/>
        <v>136.60871929135772</v>
      </c>
      <c r="J613" s="306">
        <f t="shared" ca="1" si="275"/>
        <v>712.18513894933824</v>
      </c>
      <c r="K613" s="307">
        <f t="shared" ca="1" si="276"/>
        <v>-7.7724690829878895</v>
      </c>
      <c r="L613" s="304">
        <f t="shared" ca="1" si="261"/>
        <v>712.22755030673602</v>
      </c>
      <c r="M613" s="306">
        <f t="shared" ca="1" si="277"/>
        <v>-1.5065547132736614</v>
      </c>
      <c r="N613" s="304">
        <f t="shared" ca="1" si="278"/>
        <v>-86.319226676122668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4.0843000000000034</v>
      </c>
      <c r="T613" s="304">
        <f t="shared" ca="1" si="262"/>
        <v>40.066983000000036</v>
      </c>
      <c r="U613" s="311">
        <f t="shared" ca="1" si="263"/>
        <v>0</v>
      </c>
      <c r="V613" s="306">
        <f t="shared" ca="1" si="264"/>
        <v>1.2259524976255836</v>
      </c>
      <c r="W613" s="304">
        <f t="shared" ca="1" si="265"/>
        <v>33.410932251225738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 t="e">
        <f t="shared" ca="1" si="266"/>
        <v>#N/A</v>
      </c>
      <c r="AG613" s="306">
        <f t="shared" ca="1" si="288"/>
        <v>1.6094616826775141</v>
      </c>
      <c r="AH613" s="304">
        <f t="shared" ca="1" si="289"/>
        <v>-8.1803021268886873</v>
      </c>
    </row>
    <row r="614" spans="1:34" x14ac:dyDescent="0.2">
      <c r="A614" s="347">
        <f t="shared" ca="1" si="267"/>
        <v>1E-4</v>
      </c>
      <c r="B614" s="304">
        <f t="shared" ca="1" si="268"/>
        <v>41.608000000000558</v>
      </c>
      <c r="D614" s="306">
        <f t="shared" ca="1" si="269"/>
        <v>-0.52515636969256607</v>
      </c>
      <c r="E614" s="307">
        <f t="shared" ca="1" si="270"/>
        <v>-1.6465416957576853</v>
      </c>
      <c r="F614" s="304">
        <f t="shared" ca="1" si="271"/>
        <v>1.7282617766117692</v>
      </c>
      <c r="G614" s="306">
        <f t="shared" ca="1" si="272"/>
        <v>8.7698768993154115</v>
      </c>
      <c r="H614" s="307">
        <f t="shared" ca="1" si="273"/>
        <v>-136.32708981747589</v>
      </c>
      <c r="I614" s="304">
        <f t="shared" ca="1" si="274"/>
        <v>136.60888023452679</v>
      </c>
      <c r="J614" s="306">
        <f t="shared" ca="1" si="275"/>
        <v>712.18513894933824</v>
      </c>
      <c r="K614" s="307">
        <f t="shared" ca="1" si="276"/>
        <v>-7.7861017837369291</v>
      </c>
      <c r="L614" s="304">
        <f t="shared" ca="1" si="261"/>
        <v>712.22769920951191</v>
      </c>
      <c r="M614" s="306">
        <f t="shared" ca="1" si="277"/>
        <v>-1.50655517428091</v>
      </c>
      <c r="N614" s="304">
        <f t="shared" ca="1" si="278"/>
        <v>-86.319253089892328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4.0843000000000034</v>
      </c>
      <c r="T614" s="304">
        <f t="shared" ca="1" si="262"/>
        <v>40.066983000000036</v>
      </c>
      <c r="U614" s="311">
        <f t="shared" ca="1" si="263"/>
        <v>0</v>
      </c>
      <c r="V614" s="306">
        <f t="shared" ca="1" si="264"/>
        <v>1.2259541689313289</v>
      </c>
      <c r="W614" s="304">
        <f t="shared" ca="1" si="265"/>
        <v>33.411056524550347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 t="e">
        <f t="shared" ca="1" si="286"/>
        <v>#N/A</v>
      </c>
      <c r="AD614" s="323" t="e">
        <f t="shared" ca="1" si="287"/>
        <v>#N/A</v>
      </c>
      <c r="AE614" s="324" t="e">
        <f t="shared" ca="1" si="266"/>
        <v>#N/A</v>
      </c>
      <c r="AG614" s="306">
        <f t="shared" ca="1" si="288"/>
        <v>1.6094315456752408</v>
      </c>
      <c r="AH614" s="304">
        <f t="shared" ca="1" si="289"/>
        <v>-8.1803325542261121</v>
      </c>
    </row>
    <row r="615" spans="1:34" x14ac:dyDescent="0.2">
      <c r="A615" s="347">
        <f t="shared" ca="1" si="267"/>
        <v>1E-4</v>
      </c>
      <c r="B615" s="304">
        <f t="shared" ca="1" si="268"/>
        <v>41.608100000000562</v>
      </c>
      <c r="D615" s="306">
        <f t="shared" ca="1" si="269"/>
        <v>-0.52515455960558699</v>
      </c>
      <c r="E615" s="307">
        <f t="shared" ca="1" si="270"/>
        <v>-1.6465110893407875</v>
      </c>
      <c r="F615" s="304">
        <f t="shared" ca="1" si="271"/>
        <v>1.7282320674020386</v>
      </c>
      <c r="G615" s="306">
        <f t="shared" ca="1" si="272"/>
        <v>8.7698243838594507</v>
      </c>
      <c r="H615" s="307">
        <f t="shared" ca="1" si="273"/>
        <v>-136.32725446858484</v>
      </c>
      <c r="I615" s="304">
        <f t="shared" ca="1" si="274"/>
        <v>136.60904117468223</v>
      </c>
      <c r="J615" s="306">
        <f t="shared" ca="1" si="275"/>
        <v>712.18513894933824</v>
      </c>
      <c r="K615" s="307">
        <f t="shared" ca="1" si="276"/>
        <v>-7.7997345009512324</v>
      </c>
      <c r="L615" s="304">
        <f t="shared" ca="1" si="261"/>
        <v>712.2278483733794</v>
      </c>
      <c r="M615" s="306">
        <f t="shared" ca="1" si="277"/>
        <v>-1.5065556352843119</v>
      </c>
      <c r="N615" s="304">
        <f t="shared" ca="1" si="278"/>
        <v>-86.319279503441606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4.0843000000000034</v>
      </c>
      <c r="T615" s="304">
        <f t="shared" ca="1" si="262"/>
        <v>40.066983000000036</v>
      </c>
      <c r="U615" s="311">
        <f t="shared" ca="1" si="263"/>
        <v>0</v>
      </c>
      <c r="V615" s="306">
        <f t="shared" ca="1" si="264"/>
        <v>1.2259558402413719</v>
      </c>
      <c r="W615" s="304">
        <f t="shared" ca="1" si="265"/>
        <v>33.411180796825349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 t="e">
        <f t="shared" ca="1" si="266"/>
        <v>#N/A</v>
      </c>
      <c r="AG615" s="306">
        <f t="shared" ca="1" si="288"/>
        <v>1.6094014089254571</v>
      </c>
      <c r="AH615" s="304">
        <f t="shared" ca="1" si="289"/>
        <v>-8.1803629813065442</v>
      </c>
    </row>
    <row r="616" spans="1:34" x14ac:dyDescent="0.2">
      <c r="A616" s="347">
        <f t="shared" ca="1" si="267"/>
        <v>1E-4</v>
      </c>
      <c r="B616" s="304">
        <f t="shared" ca="1" si="268"/>
        <v>41.608200000000565</v>
      </c>
      <c r="D616" s="306">
        <f t="shared" ca="1" si="269"/>
        <v>-0.52515274950540491</v>
      </c>
      <c r="E616" s="307">
        <f t="shared" ca="1" si="270"/>
        <v>-1.6464804831822999</v>
      </c>
      <c r="F616" s="304">
        <f t="shared" ca="1" si="271"/>
        <v>1.728202358467696</v>
      </c>
      <c r="G616" s="306">
        <f t="shared" ca="1" si="272"/>
        <v>8.7697718685845008</v>
      </c>
      <c r="H616" s="307">
        <f t="shared" ca="1" si="273"/>
        <v>-136.32741911663317</v>
      </c>
      <c r="I616" s="304">
        <f t="shared" ca="1" si="274"/>
        <v>136.60920211182398</v>
      </c>
      <c r="J616" s="306">
        <f t="shared" ca="1" si="275"/>
        <v>712.18513894933824</v>
      </c>
      <c r="K616" s="307">
        <f t="shared" ca="1" si="276"/>
        <v>-7.8133672346304932</v>
      </c>
      <c r="L616" s="304">
        <f t="shared" ca="1" si="261"/>
        <v>712.2279977983394</v>
      </c>
      <c r="M616" s="306">
        <f t="shared" ca="1" si="277"/>
        <v>-1.5065560962838669</v>
      </c>
      <c r="N616" s="304">
        <f t="shared" ca="1" si="278"/>
        <v>-86.31930591677046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4.0843000000000034</v>
      </c>
      <c r="T616" s="304">
        <f t="shared" ca="1" si="262"/>
        <v>40.066983000000036</v>
      </c>
      <c r="U616" s="311">
        <f t="shared" ca="1" si="263"/>
        <v>0</v>
      </c>
      <c r="V616" s="306">
        <f t="shared" ca="1" si="264"/>
        <v>1.2259575115557131</v>
      </c>
      <c r="W616" s="304">
        <f t="shared" ca="1" si="265"/>
        <v>33.41130506805073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 t="e">
        <f t="shared" ca="1" si="266"/>
        <v>#N/A</v>
      </c>
      <c r="AG616" s="306">
        <f t="shared" ca="1" si="288"/>
        <v>1.6093712724281541</v>
      </c>
      <c r="AH616" s="304">
        <f t="shared" ca="1" si="289"/>
        <v>-8.1803934081299907</v>
      </c>
    </row>
    <row r="617" spans="1:34" x14ac:dyDescent="0.2">
      <c r="A617" s="347">
        <f t="shared" ca="1" si="267"/>
        <v>1E-4</v>
      </c>
      <c r="B617" s="304">
        <f t="shared" ca="1" si="268"/>
        <v>41.608300000000568</v>
      </c>
      <c r="D617" s="306">
        <f t="shared" ca="1" si="269"/>
        <v>-0.52515093939202218</v>
      </c>
      <c r="E617" s="307">
        <f t="shared" ca="1" si="270"/>
        <v>-1.6464498772822243</v>
      </c>
      <c r="F617" s="304">
        <f t="shared" ca="1" si="271"/>
        <v>1.7281726498087435</v>
      </c>
      <c r="G617" s="306">
        <f t="shared" ca="1" si="272"/>
        <v>8.7697193534905615</v>
      </c>
      <c r="H617" s="307">
        <f t="shared" ca="1" si="273"/>
        <v>-136.3275837616209</v>
      </c>
      <c r="I617" s="304">
        <f t="shared" ca="1" si="274"/>
        <v>136.60936304595214</v>
      </c>
      <c r="J617" s="306">
        <f t="shared" ca="1" si="275"/>
        <v>712.18513894933824</v>
      </c>
      <c r="K617" s="307">
        <f t="shared" ca="1" si="276"/>
        <v>-7.8269999847744058</v>
      </c>
      <c r="L617" s="304">
        <f t="shared" ca="1" si="261"/>
        <v>712.22814748439271</v>
      </c>
      <c r="M617" s="306">
        <f t="shared" ca="1" si="277"/>
        <v>-1.5065565572795752</v>
      </c>
      <c r="N617" s="304">
        <f t="shared" ca="1" si="278"/>
        <v>-86.319332329878918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4.0843000000000034</v>
      </c>
      <c r="T617" s="304">
        <f t="shared" ca="1" si="262"/>
        <v>40.066983000000036</v>
      </c>
      <c r="U617" s="311">
        <f t="shared" ca="1" si="263"/>
        <v>0</v>
      </c>
      <c r="V617" s="306">
        <f t="shared" ca="1" si="264"/>
        <v>1.2259591828743523</v>
      </c>
      <c r="W617" s="304">
        <f t="shared" ca="1" si="265"/>
        <v>33.411429338226533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 t="e">
        <f t="shared" ca="1" si="266"/>
        <v>#N/A</v>
      </c>
      <c r="AG617" s="306">
        <f t="shared" ca="1" si="288"/>
        <v>1.6093411361833372</v>
      </c>
      <c r="AH617" s="304">
        <f t="shared" ca="1" si="289"/>
        <v>-8.1804238346964482</v>
      </c>
    </row>
    <row r="618" spans="1:34" x14ac:dyDescent="0.2">
      <c r="A618" s="347">
        <f t="shared" ca="1" si="267"/>
        <v>1E-4</v>
      </c>
      <c r="B618" s="304">
        <f t="shared" ca="1" si="268"/>
        <v>41.608400000000572</v>
      </c>
      <c r="D618" s="306">
        <f t="shared" ca="1" si="269"/>
        <v>-0.52514912926543855</v>
      </c>
      <c r="E618" s="307">
        <f t="shared" ca="1" si="270"/>
        <v>-1.6464192716405517</v>
      </c>
      <c r="F618" s="304">
        <f t="shared" ca="1" si="271"/>
        <v>1.7281429414251743</v>
      </c>
      <c r="G618" s="306">
        <f t="shared" ca="1" si="272"/>
        <v>8.7696668385776348</v>
      </c>
      <c r="H618" s="307">
        <f t="shared" ca="1" si="273"/>
        <v>-136.32774840354807</v>
      </c>
      <c r="I618" s="304">
        <f t="shared" ca="1" si="274"/>
        <v>136.60952397706666</v>
      </c>
      <c r="J618" s="306">
        <f t="shared" ca="1" si="275"/>
        <v>712.18513894933824</v>
      </c>
      <c r="K618" s="307">
        <f t="shared" ca="1" si="276"/>
        <v>-7.8406327513826639</v>
      </c>
      <c r="L618" s="304">
        <f t="shared" ca="1" si="261"/>
        <v>712.22829743154011</v>
      </c>
      <c r="M618" s="306">
        <f t="shared" ca="1" si="277"/>
        <v>-1.5065570182714367</v>
      </c>
      <c r="N618" s="304">
        <f t="shared" ca="1" si="278"/>
        <v>-86.31935874276698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4.0843000000000034</v>
      </c>
      <c r="T618" s="304">
        <f t="shared" ca="1" si="262"/>
        <v>40.066983000000036</v>
      </c>
      <c r="U618" s="311">
        <f t="shared" ca="1" si="263"/>
        <v>0</v>
      </c>
      <c r="V618" s="306">
        <f t="shared" ca="1" si="264"/>
        <v>1.2259608541972891</v>
      </c>
      <c r="W618" s="304">
        <f t="shared" ca="1" si="265"/>
        <v>33.411553607352694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 t="e">
        <f t="shared" ca="1" si="266"/>
        <v>#N/A</v>
      </c>
      <c r="AG618" s="306">
        <f t="shared" ca="1" si="288"/>
        <v>1.6093110001909974</v>
      </c>
      <c r="AH618" s="304">
        <f t="shared" ca="1" si="289"/>
        <v>-8.1804542610059272</v>
      </c>
    </row>
    <row r="619" spans="1:34" x14ac:dyDescent="0.2">
      <c r="A619" s="347">
        <f t="shared" ca="1" si="267"/>
        <v>1E-4</v>
      </c>
      <c r="B619" s="304">
        <f t="shared" ca="1" si="268"/>
        <v>41.608500000000575</v>
      </c>
      <c r="D619" s="306">
        <f t="shared" ca="1" si="269"/>
        <v>-0.52514731912565327</v>
      </c>
      <c r="E619" s="307">
        <f t="shared" ca="1" si="270"/>
        <v>-1.6463886662573</v>
      </c>
      <c r="F619" s="304">
        <f t="shared" ca="1" si="271"/>
        <v>1.7281132333170046</v>
      </c>
      <c r="G619" s="306">
        <f t="shared" ca="1" si="272"/>
        <v>8.7696143238457225</v>
      </c>
      <c r="H619" s="307">
        <f t="shared" ca="1" si="273"/>
        <v>-136.32791304241471</v>
      </c>
      <c r="I619" s="304">
        <f t="shared" ca="1" si="274"/>
        <v>136.60968490516763</v>
      </c>
      <c r="J619" s="306">
        <f t="shared" ca="1" si="275"/>
        <v>712.18513894933824</v>
      </c>
      <c r="K619" s="307">
        <f t="shared" ca="1" si="276"/>
        <v>-7.8542655344549619</v>
      </c>
      <c r="L619" s="304">
        <f t="shared" ca="1" si="261"/>
        <v>712.22844763978219</v>
      </c>
      <c r="M619" s="306">
        <f t="shared" ca="1" si="277"/>
        <v>-1.5065574792594516</v>
      </c>
      <c r="N619" s="304">
        <f t="shared" ca="1" si="278"/>
        <v>-86.319385155434631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4.0843000000000034</v>
      </c>
      <c r="T619" s="304">
        <f t="shared" ca="1" si="262"/>
        <v>40.066983000000036</v>
      </c>
      <c r="U619" s="311">
        <f t="shared" ca="1" si="263"/>
        <v>0</v>
      </c>
      <c r="V619" s="306">
        <f t="shared" ca="1" si="264"/>
        <v>1.2259625255245232</v>
      </c>
      <c r="W619" s="304">
        <f t="shared" ca="1" si="265"/>
        <v>33.411677875429255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 t="e">
        <f t="shared" ca="1" si="266"/>
        <v>#N/A</v>
      </c>
      <c r="AG619" s="306">
        <f t="shared" ca="1" si="288"/>
        <v>1.6092808644511507</v>
      </c>
      <c r="AH619" s="304">
        <f t="shared" ca="1" si="289"/>
        <v>-8.18048468705841</v>
      </c>
    </row>
    <row r="620" spans="1:34" x14ac:dyDescent="0.2">
      <c r="A620" s="347">
        <f t="shared" ca="1" si="267"/>
        <v>1E-4</v>
      </c>
      <c r="B620" s="304">
        <f t="shared" ca="1" si="268"/>
        <v>41.608600000000578</v>
      </c>
      <c r="D620" s="306">
        <f t="shared" ca="1" si="269"/>
        <v>-0.52514550897266821</v>
      </c>
      <c r="E620" s="307">
        <f t="shared" ca="1" si="270"/>
        <v>-1.6463580611324549</v>
      </c>
      <c r="F620" s="304">
        <f t="shared" ca="1" si="271"/>
        <v>1.7280835254842224</v>
      </c>
      <c r="G620" s="306">
        <f t="shared" ca="1" si="272"/>
        <v>8.7695618092948244</v>
      </c>
      <c r="H620" s="307">
        <f t="shared" ca="1" si="273"/>
        <v>-136.32807767822081</v>
      </c>
      <c r="I620" s="304">
        <f t="shared" ca="1" si="274"/>
        <v>136.60984583025504</v>
      </c>
      <c r="J620" s="306">
        <f t="shared" ca="1" si="275"/>
        <v>712.18513894933824</v>
      </c>
      <c r="K620" s="307">
        <f t="shared" ca="1" si="276"/>
        <v>-7.8678983339909934</v>
      </c>
      <c r="L620" s="304">
        <f t="shared" ca="1" si="261"/>
        <v>712.22859810911996</v>
      </c>
      <c r="M620" s="306">
        <f t="shared" ca="1" si="277"/>
        <v>-1.50655794024362</v>
      </c>
      <c r="N620" s="304">
        <f t="shared" ca="1" si="278"/>
        <v>-86.3194115678819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4.0843000000000034</v>
      </c>
      <c r="T620" s="304">
        <f t="shared" ca="1" si="262"/>
        <v>40.066983000000036</v>
      </c>
      <c r="U620" s="311">
        <f t="shared" ca="1" si="263"/>
        <v>0</v>
      </c>
      <c r="V620" s="306">
        <f t="shared" ca="1" si="264"/>
        <v>1.225964196856056</v>
      </c>
      <c r="W620" s="304">
        <f t="shared" ca="1" si="265"/>
        <v>33.411802142456217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 t="e">
        <f t="shared" ca="1" si="266"/>
        <v>#N/A</v>
      </c>
      <c r="AG620" s="306">
        <f t="shared" ca="1" si="288"/>
        <v>1.609250728963783</v>
      </c>
      <c r="AH620" s="304">
        <f t="shared" ca="1" si="289"/>
        <v>-8.1805151128539109</v>
      </c>
    </row>
    <row r="621" spans="1:34" x14ac:dyDescent="0.2">
      <c r="A621" s="347">
        <f t="shared" ca="1" si="267"/>
        <v>1E-4</v>
      </c>
      <c r="B621" s="304">
        <f t="shared" ca="1" si="268"/>
        <v>41.608700000000582</v>
      </c>
      <c r="D621" s="306">
        <f t="shared" ca="1" si="269"/>
        <v>-0.52514369880648193</v>
      </c>
      <c r="E621" s="307">
        <f t="shared" ca="1" si="270"/>
        <v>-1.6463274562660182</v>
      </c>
      <c r="F621" s="304">
        <f t="shared" ca="1" si="271"/>
        <v>1.7280538179268292</v>
      </c>
      <c r="G621" s="306">
        <f t="shared" ca="1" si="272"/>
        <v>8.7695092949249442</v>
      </c>
      <c r="H621" s="307">
        <f t="shared" ca="1" si="273"/>
        <v>-136.32824231096643</v>
      </c>
      <c r="I621" s="304">
        <f t="shared" ca="1" si="274"/>
        <v>136.61000675232893</v>
      </c>
      <c r="J621" s="306">
        <f t="shared" ca="1" si="275"/>
        <v>712.18513894933824</v>
      </c>
      <c r="K621" s="307">
        <f t="shared" ca="1" si="276"/>
        <v>-7.8815311499904528</v>
      </c>
      <c r="L621" s="304">
        <f t="shared" ca="1" si="261"/>
        <v>712.22874883955399</v>
      </c>
      <c r="M621" s="306">
        <f t="shared" ca="1" si="277"/>
        <v>-1.5065584012239419</v>
      </c>
      <c r="N621" s="304">
        <f t="shared" ca="1" si="278"/>
        <v>-86.319437980108788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4.0843000000000034</v>
      </c>
      <c r="T621" s="304">
        <f t="shared" ca="1" si="262"/>
        <v>40.066983000000036</v>
      </c>
      <c r="U621" s="311">
        <f t="shared" ca="1" si="263"/>
        <v>0</v>
      </c>
      <c r="V621" s="306">
        <f t="shared" ca="1" si="264"/>
        <v>1.2259658681918859</v>
      </c>
      <c r="W621" s="304">
        <f t="shared" ca="1" si="265"/>
        <v>33.411926408433573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 t="e">
        <f t="shared" ca="1" si="266"/>
        <v>#N/A</v>
      </c>
      <c r="AG621" s="306">
        <f t="shared" ca="1" si="288"/>
        <v>1.6092205937288977</v>
      </c>
      <c r="AH621" s="304">
        <f t="shared" ca="1" si="289"/>
        <v>-8.1805455383924262</v>
      </c>
    </row>
    <row r="622" spans="1:34" x14ac:dyDescent="0.2">
      <c r="A622" s="347">
        <f t="shared" ca="1" si="267"/>
        <v>1E-4</v>
      </c>
      <c r="B622" s="304">
        <f t="shared" ca="1" si="268"/>
        <v>41.608800000000585</v>
      </c>
      <c r="D622" s="306">
        <f t="shared" ca="1" si="269"/>
        <v>-0.52514188862709543</v>
      </c>
      <c r="E622" s="307">
        <f t="shared" ca="1" si="270"/>
        <v>-1.6462968516579899</v>
      </c>
      <c r="F622" s="304">
        <f t="shared" ca="1" si="271"/>
        <v>1.728024110644826</v>
      </c>
      <c r="G622" s="306">
        <f t="shared" ca="1" si="272"/>
        <v>8.7694567807360819</v>
      </c>
      <c r="H622" s="307">
        <f t="shared" ca="1" si="273"/>
        <v>-136.3284069406516</v>
      </c>
      <c r="I622" s="304">
        <f t="shared" ca="1" si="274"/>
        <v>136.61016767138932</v>
      </c>
      <c r="J622" s="306">
        <f t="shared" ca="1" si="275"/>
        <v>712.18513894933824</v>
      </c>
      <c r="K622" s="307">
        <f t="shared" ca="1" si="276"/>
        <v>-7.8951639824530337</v>
      </c>
      <c r="L622" s="304">
        <f t="shared" ca="1" si="261"/>
        <v>712.2288998310853</v>
      </c>
      <c r="M622" s="306">
        <f t="shared" ca="1" si="277"/>
        <v>-1.5065588622004171</v>
      </c>
      <c r="N622" s="304">
        <f t="shared" ca="1" si="278"/>
        <v>-86.319464392115279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4.0843000000000034</v>
      </c>
      <c r="T622" s="304">
        <f t="shared" ca="1" si="262"/>
        <v>40.066983000000036</v>
      </c>
      <c r="U622" s="311">
        <f t="shared" ca="1" si="263"/>
        <v>0</v>
      </c>
      <c r="V622" s="306">
        <f t="shared" ca="1" si="264"/>
        <v>1.2259675395320138</v>
      </c>
      <c r="W622" s="304">
        <f t="shared" ca="1" si="265"/>
        <v>33.412050673361328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 t="e">
        <f t="shared" ca="1" si="266"/>
        <v>#N/A</v>
      </c>
      <c r="AG622" s="306">
        <f t="shared" ca="1" si="288"/>
        <v>1.6091904587464949</v>
      </c>
      <c r="AH622" s="304">
        <f t="shared" ca="1" si="289"/>
        <v>-8.1805759636739577</v>
      </c>
    </row>
    <row r="623" spans="1:34" x14ac:dyDescent="0.2">
      <c r="A623" s="347">
        <f t="shared" ca="1" si="267"/>
        <v>1E-4</v>
      </c>
      <c r="B623" s="304">
        <f t="shared" ca="1" si="268"/>
        <v>41.608900000000588</v>
      </c>
      <c r="D623" s="306">
        <f t="shared" ca="1" si="269"/>
        <v>-0.52514007843451083</v>
      </c>
      <c r="E623" s="307">
        <f t="shared" ca="1" si="270"/>
        <v>-1.64626624730837</v>
      </c>
      <c r="F623" s="304">
        <f t="shared" ca="1" si="271"/>
        <v>1.727994403638214</v>
      </c>
      <c r="G623" s="306">
        <f t="shared" ca="1" si="272"/>
        <v>8.7694042667282393</v>
      </c>
      <c r="H623" s="307">
        <f t="shared" ca="1" si="273"/>
        <v>-136.32857156727633</v>
      </c>
      <c r="I623" s="304">
        <f t="shared" ca="1" si="274"/>
        <v>136.61032858743624</v>
      </c>
      <c r="J623" s="306">
        <f t="shared" ca="1" si="275"/>
        <v>712.18513894933824</v>
      </c>
      <c r="K623" s="307">
        <f t="shared" ca="1" si="276"/>
        <v>-7.9087968313784298</v>
      </c>
      <c r="L623" s="304">
        <f t="shared" ca="1" si="261"/>
        <v>712.22905108371435</v>
      </c>
      <c r="M623" s="306">
        <f t="shared" ca="1" si="277"/>
        <v>-1.5065593231730461</v>
      </c>
      <c r="N623" s="304">
        <f t="shared" ca="1" si="278"/>
        <v>-86.319490803901388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4.0843000000000034</v>
      </c>
      <c r="T623" s="304">
        <f t="shared" ca="1" si="262"/>
        <v>40.066983000000036</v>
      </c>
      <c r="U623" s="311">
        <f t="shared" ca="1" si="263"/>
        <v>0</v>
      </c>
      <c r="V623" s="306">
        <f t="shared" ca="1" si="264"/>
        <v>1.2259692108764395</v>
      </c>
      <c r="W623" s="304">
        <f t="shared" ca="1" si="265"/>
        <v>33.412174937239492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 t="e">
        <f t="shared" ca="1" si="266"/>
        <v>#N/A</v>
      </c>
      <c r="AG623" s="306">
        <f t="shared" ca="1" si="288"/>
        <v>1.6091603240165728</v>
      </c>
      <c r="AH623" s="304">
        <f t="shared" ca="1" si="289"/>
        <v>-8.1806063886985037</v>
      </c>
    </row>
    <row r="624" spans="1:34" x14ac:dyDescent="0.2">
      <c r="A624" s="347">
        <f t="shared" ca="1" si="267"/>
        <v>1E-4</v>
      </c>
      <c r="B624" s="304">
        <f t="shared" ca="1" si="268"/>
        <v>41.609000000000592</v>
      </c>
      <c r="D624" s="306">
        <f t="shared" ca="1" si="269"/>
        <v>-0.52513826822872578</v>
      </c>
      <c r="E624" s="307">
        <f t="shared" ca="1" si="270"/>
        <v>-1.646235643217155</v>
      </c>
      <c r="F624" s="304">
        <f t="shared" ca="1" si="271"/>
        <v>1.7279646969069897</v>
      </c>
      <c r="G624" s="306">
        <f t="shared" ca="1" si="272"/>
        <v>8.7693517529014162</v>
      </c>
      <c r="H624" s="307">
        <f t="shared" ca="1" si="273"/>
        <v>-136.32873619084066</v>
      </c>
      <c r="I624" s="304">
        <f t="shared" ca="1" si="274"/>
        <v>136.6104895004697</v>
      </c>
      <c r="J624" s="306">
        <f t="shared" ca="1" si="275"/>
        <v>712.18513894933824</v>
      </c>
      <c r="K624" s="307">
        <f t="shared" ca="1" si="276"/>
        <v>-7.9224296967663355</v>
      </c>
      <c r="L624" s="304">
        <f t="shared" ca="1" si="261"/>
        <v>712.22920259744228</v>
      </c>
      <c r="M624" s="306">
        <f t="shared" ca="1" si="277"/>
        <v>-1.5065597841418286</v>
      </c>
      <c r="N624" s="304">
        <f t="shared" ca="1" si="278"/>
        <v>-86.319517215467101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4.0843000000000034</v>
      </c>
      <c r="T624" s="304">
        <f t="shared" ca="1" si="262"/>
        <v>40.066983000000036</v>
      </c>
      <c r="U624" s="311">
        <f t="shared" ca="1" si="263"/>
        <v>0</v>
      </c>
      <c r="V624" s="306">
        <f t="shared" ca="1" si="264"/>
        <v>1.2259708822251625</v>
      </c>
      <c r="W624" s="304">
        <f t="shared" ca="1" si="265"/>
        <v>33.412299200068034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 t="e">
        <f t="shared" ca="1" si="286"/>
        <v>#N/A</v>
      </c>
      <c r="AD624" s="323" t="e">
        <f t="shared" ca="1" si="287"/>
        <v>#N/A</v>
      </c>
      <c r="AE624" s="324" t="e">
        <f t="shared" ca="1" si="266"/>
        <v>#N/A</v>
      </c>
      <c r="AG624" s="306">
        <f t="shared" ca="1" si="288"/>
        <v>1.6091301895391297</v>
      </c>
      <c r="AH624" s="304">
        <f t="shared" ca="1" si="289"/>
        <v>-8.1806368134660694</v>
      </c>
    </row>
    <row r="625" spans="1:34" x14ac:dyDescent="0.2">
      <c r="A625" s="347">
        <f t="shared" ca="1" si="267"/>
        <v>1E-4</v>
      </c>
      <c r="B625" s="304">
        <f t="shared" ca="1" si="268"/>
        <v>41.609100000000595</v>
      </c>
      <c r="D625" s="306">
        <f t="shared" ca="1" si="269"/>
        <v>-0.52513645800974196</v>
      </c>
      <c r="E625" s="307">
        <f t="shared" ca="1" si="270"/>
        <v>-1.6462050393843555</v>
      </c>
      <c r="F625" s="304">
        <f t="shared" ca="1" si="271"/>
        <v>1.7279349904511643</v>
      </c>
      <c r="G625" s="306">
        <f t="shared" ca="1" si="272"/>
        <v>8.7692992392556146</v>
      </c>
      <c r="H625" s="307">
        <f t="shared" ca="1" si="273"/>
        <v>-136.3289008113446</v>
      </c>
      <c r="I625" s="304">
        <f t="shared" ca="1" si="274"/>
        <v>136.61065041048974</v>
      </c>
      <c r="J625" s="306">
        <f t="shared" ca="1" si="275"/>
        <v>712.18513894933824</v>
      </c>
      <c r="K625" s="307">
        <f t="shared" ca="1" si="276"/>
        <v>-7.9360625786164452</v>
      </c>
      <c r="L625" s="304">
        <f t="shared" ca="1" si="261"/>
        <v>712.22935437226954</v>
      </c>
      <c r="M625" s="306">
        <f t="shared" ca="1" si="277"/>
        <v>-1.5065602451067648</v>
      </c>
      <c r="N625" s="304">
        <f t="shared" ca="1" si="278"/>
        <v>-86.319543626812461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4.0843000000000034</v>
      </c>
      <c r="T625" s="304">
        <f t="shared" ca="1" si="262"/>
        <v>40.066983000000036</v>
      </c>
      <c r="U625" s="311">
        <f t="shared" ca="1" si="263"/>
        <v>0</v>
      </c>
      <c r="V625" s="306">
        <f t="shared" ca="1" si="264"/>
        <v>1.2259725535781838</v>
      </c>
      <c r="W625" s="304">
        <f t="shared" ca="1" si="265"/>
        <v>33.412423461847013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 t="e">
        <f t="shared" ca="1" si="266"/>
        <v>#N/A</v>
      </c>
      <c r="AG625" s="306">
        <f t="shared" ca="1" si="288"/>
        <v>1.6091000553141743</v>
      </c>
      <c r="AH625" s="304">
        <f t="shared" ca="1" si="289"/>
        <v>-8.1806672379766443</v>
      </c>
    </row>
    <row r="626" spans="1:34" x14ac:dyDescent="0.2">
      <c r="A626" s="347">
        <f t="shared" ca="1" si="267"/>
        <v>1E-4</v>
      </c>
      <c r="B626" s="304">
        <f t="shared" ca="1" si="268"/>
        <v>41.609200000000598</v>
      </c>
      <c r="D626" s="306">
        <f t="shared" ca="1" si="269"/>
        <v>-0.52513464777755936</v>
      </c>
      <c r="E626" s="307">
        <f t="shared" ca="1" si="270"/>
        <v>-1.6461744358099537</v>
      </c>
      <c r="F626" s="304">
        <f t="shared" ca="1" si="271"/>
        <v>1.7279052842707208</v>
      </c>
      <c r="G626" s="306">
        <f t="shared" ca="1" si="272"/>
        <v>8.7692467257908362</v>
      </c>
      <c r="H626" s="307">
        <f t="shared" ca="1" si="273"/>
        <v>-136.32906542878817</v>
      </c>
      <c r="I626" s="304">
        <f t="shared" ca="1" si="274"/>
        <v>136.6108113174964</v>
      </c>
      <c r="J626" s="306">
        <f t="shared" ca="1" si="275"/>
        <v>712.18513894933824</v>
      </c>
      <c r="K626" s="307">
        <f t="shared" ca="1" si="276"/>
        <v>-7.9496954769284516</v>
      </c>
      <c r="L626" s="304">
        <f t="shared" ca="1" si="261"/>
        <v>712.22950640819715</v>
      </c>
      <c r="M626" s="306">
        <f t="shared" ca="1" si="277"/>
        <v>-1.5065607060678545</v>
      </c>
      <c r="N626" s="304">
        <f t="shared" ca="1" si="278"/>
        <v>-86.319570037937424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4.0843000000000034</v>
      </c>
      <c r="T626" s="304">
        <f t="shared" ca="1" si="262"/>
        <v>40.066983000000036</v>
      </c>
      <c r="U626" s="311">
        <f t="shared" ca="1" si="263"/>
        <v>0</v>
      </c>
      <c r="V626" s="306">
        <f t="shared" ca="1" si="264"/>
        <v>1.2259742249355019</v>
      </c>
      <c r="W626" s="304">
        <f t="shared" ca="1" si="265"/>
        <v>33.41254772257637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 t="e">
        <f t="shared" ca="1" si="266"/>
        <v>#N/A</v>
      </c>
      <c r="AG626" s="306">
        <f t="shared" ca="1" si="288"/>
        <v>1.6090699213416908</v>
      </c>
      <c r="AH626" s="304">
        <f t="shared" ca="1" si="289"/>
        <v>-8.1806976622302443</v>
      </c>
    </row>
    <row r="627" spans="1:34" x14ac:dyDescent="0.2">
      <c r="A627" s="347">
        <f t="shared" ca="1" si="267"/>
        <v>1E-4</v>
      </c>
      <c r="B627" s="304">
        <f t="shared" ca="1" si="268"/>
        <v>41.609300000000601</v>
      </c>
      <c r="D627" s="306">
        <f t="shared" ca="1" si="269"/>
        <v>-0.52513283753217965</v>
      </c>
      <c r="E627" s="307">
        <f t="shared" ca="1" si="270"/>
        <v>-1.6461438324939657</v>
      </c>
      <c r="F627" s="304">
        <f t="shared" ca="1" si="271"/>
        <v>1.7278755783656761</v>
      </c>
      <c r="G627" s="306">
        <f t="shared" ca="1" si="272"/>
        <v>8.7691942125070828</v>
      </c>
      <c r="H627" s="307">
        <f t="shared" ca="1" si="273"/>
        <v>-136.32923004317141</v>
      </c>
      <c r="I627" s="304">
        <f t="shared" ca="1" si="274"/>
        <v>136.61097222148965</v>
      </c>
      <c r="J627" s="306">
        <f t="shared" ca="1" si="275"/>
        <v>712.18513894933824</v>
      </c>
      <c r="K627" s="307">
        <f t="shared" ca="1" si="276"/>
        <v>-7.9633283917020492</v>
      </c>
      <c r="L627" s="304">
        <f t="shared" ca="1" si="261"/>
        <v>712.22965870522569</v>
      </c>
      <c r="M627" s="306">
        <f t="shared" ca="1" si="277"/>
        <v>-1.5065611670250982</v>
      </c>
      <c r="N627" s="304">
        <f t="shared" ca="1" si="278"/>
        <v>-86.31959644884202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4.0843000000000034</v>
      </c>
      <c r="T627" s="304">
        <f t="shared" ca="1" si="262"/>
        <v>40.066983000000036</v>
      </c>
      <c r="U627" s="311">
        <f t="shared" ca="1" si="263"/>
        <v>0</v>
      </c>
      <c r="V627" s="306">
        <f t="shared" ca="1" si="264"/>
        <v>1.2259758962971183</v>
      </c>
      <c r="W627" s="304">
        <f t="shared" ca="1" si="265"/>
        <v>33.412671982256128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 t="e">
        <f t="shared" ca="1" si="266"/>
        <v>#N/A</v>
      </c>
      <c r="AG627" s="306">
        <f t="shared" ca="1" si="288"/>
        <v>1.6090397876216951</v>
      </c>
      <c r="AH627" s="304">
        <f t="shared" ca="1" si="289"/>
        <v>-8.1807280862268552</v>
      </c>
    </row>
    <row r="628" spans="1:34" x14ac:dyDescent="0.2">
      <c r="A628" s="347">
        <f t="shared" ca="1" si="267"/>
        <v>1E-4</v>
      </c>
      <c r="B628" s="304">
        <f t="shared" ca="1" si="268"/>
        <v>41.609400000000605</v>
      </c>
      <c r="D628" s="306">
        <f t="shared" ca="1" si="269"/>
        <v>-0.52513102727360017</v>
      </c>
      <c r="E628" s="307">
        <f t="shared" ca="1" si="270"/>
        <v>-1.646113229436386</v>
      </c>
      <c r="F628" s="304">
        <f t="shared" ca="1" si="271"/>
        <v>1.7278458727360246</v>
      </c>
      <c r="G628" s="306">
        <f t="shared" ca="1" si="272"/>
        <v>8.7691416994043561</v>
      </c>
      <c r="H628" s="307">
        <f t="shared" ca="1" si="273"/>
        <v>-136.32939465449434</v>
      </c>
      <c r="I628" s="304">
        <f t="shared" ca="1" si="274"/>
        <v>136.61113312246957</v>
      </c>
      <c r="J628" s="306">
        <f t="shared" ca="1" si="275"/>
        <v>712.18513894933824</v>
      </c>
      <c r="K628" s="307">
        <f t="shared" ca="1" si="276"/>
        <v>-7.9769613229369325</v>
      </c>
      <c r="L628" s="304">
        <f t="shared" ca="1" si="261"/>
        <v>712.22981126335605</v>
      </c>
      <c r="M628" s="306">
        <f t="shared" ca="1" si="277"/>
        <v>-1.5065616279784957</v>
      </c>
      <c r="N628" s="304">
        <f t="shared" ca="1" si="278"/>
        <v>-86.319622859526248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4.0843000000000034</v>
      </c>
      <c r="T628" s="304">
        <f t="shared" ca="1" si="262"/>
        <v>40.066983000000036</v>
      </c>
      <c r="U628" s="311">
        <f t="shared" ca="1" si="263"/>
        <v>0</v>
      </c>
      <c r="V628" s="306">
        <f t="shared" ca="1" si="264"/>
        <v>1.2259775676630316</v>
      </c>
      <c r="W628" s="304">
        <f t="shared" ca="1" si="265"/>
        <v>33.412796240886301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 t="e">
        <f t="shared" ca="1" si="266"/>
        <v>#N/A</v>
      </c>
      <c r="AG628" s="306">
        <f t="shared" ca="1" si="288"/>
        <v>1.6090096541541801</v>
      </c>
      <c r="AH628" s="304">
        <f t="shared" ca="1" si="289"/>
        <v>-8.1807585099664824</v>
      </c>
    </row>
    <row r="629" spans="1:34" x14ac:dyDescent="0.2">
      <c r="A629" s="347">
        <f t="shared" ca="1" si="267"/>
        <v>1E-4</v>
      </c>
      <c r="B629" s="304">
        <f t="shared" ca="1" si="268"/>
        <v>41.609500000000608</v>
      </c>
      <c r="D629" s="306">
        <f t="shared" ca="1" si="269"/>
        <v>-0.52512921700182358</v>
      </c>
      <c r="E629" s="307">
        <f t="shared" ca="1" si="270"/>
        <v>-1.6460826266372131</v>
      </c>
      <c r="F629" s="304">
        <f t="shared" ca="1" si="271"/>
        <v>1.727816167381766</v>
      </c>
      <c r="G629" s="306">
        <f t="shared" ca="1" si="272"/>
        <v>8.7690891864826561</v>
      </c>
      <c r="H629" s="307">
        <f t="shared" ca="1" si="273"/>
        <v>-136.32955926275699</v>
      </c>
      <c r="I629" s="304">
        <f t="shared" ca="1" si="274"/>
        <v>136.61129402043616</v>
      </c>
      <c r="J629" s="306">
        <f t="shared" ca="1" si="275"/>
        <v>712.18513894933824</v>
      </c>
      <c r="K629" s="307">
        <f t="shared" ca="1" si="276"/>
        <v>-7.990594270632795</v>
      </c>
      <c r="L629" s="304">
        <f t="shared" ca="1" si="261"/>
        <v>712.22996408258905</v>
      </c>
      <c r="M629" s="306">
        <f t="shared" ca="1" si="277"/>
        <v>-1.5065620889280469</v>
      </c>
      <c r="N629" s="304">
        <f t="shared" ca="1" si="278"/>
        <v>-86.319649269990094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4.0843000000000034</v>
      </c>
      <c r="T629" s="304">
        <f t="shared" ca="1" si="262"/>
        <v>40.066983000000036</v>
      </c>
      <c r="U629" s="311">
        <f t="shared" ca="1" si="263"/>
        <v>0</v>
      </c>
      <c r="V629" s="306">
        <f t="shared" ca="1" si="264"/>
        <v>1.2259792390332429</v>
      </c>
      <c r="W629" s="304">
        <f t="shared" ca="1" si="265"/>
        <v>33.412920498466889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 t="e">
        <f t="shared" ca="1" si="266"/>
        <v>#N/A</v>
      </c>
      <c r="AG629" s="306">
        <f t="shared" ca="1" si="288"/>
        <v>1.6089795209391458</v>
      </c>
      <c r="AH629" s="304">
        <f t="shared" ca="1" si="289"/>
        <v>-8.1807889334491275</v>
      </c>
    </row>
    <row r="630" spans="1:34" x14ac:dyDescent="0.2">
      <c r="A630" s="347">
        <f t="shared" ca="1" si="267"/>
        <v>1E-4</v>
      </c>
      <c r="B630" s="304">
        <f t="shared" ca="1" si="268"/>
        <v>41.609600000000611</v>
      </c>
      <c r="D630" s="306">
        <f t="shared" ca="1" si="269"/>
        <v>-0.52512740671685088</v>
      </c>
      <c r="E630" s="307">
        <f t="shared" ca="1" si="270"/>
        <v>-1.6460520240964414</v>
      </c>
      <c r="F630" s="304">
        <f t="shared" ca="1" si="271"/>
        <v>1.727786462302896</v>
      </c>
      <c r="G630" s="306">
        <f t="shared" ca="1" si="272"/>
        <v>8.7690366737419847</v>
      </c>
      <c r="H630" s="307">
        <f t="shared" ca="1" si="273"/>
        <v>-136.32972386795939</v>
      </c>
      <c r="I630" s="304">
        <f t="shared" ca="1" si="274"/>
        <v>136.61145491538946</v>
      </c>
      <c r="J630" s="306">
        <f t="shared" ca="1" si="275"/>
        <v>712.18513894933824</v>
      </c>
      <c r="K630" s="307">
        <f t="shared" ca="1" si="276"/>
        <v>-8.0042272347893313</v>
      </c>
      <c r="L630" s="304">
        <f t="shared" ca="1" si="261"/>
        <v>712.23011716292535</v>
      </c>
      <c r="M630" s="306">
        <f t="shared" ca="1" si="277"/>
        <v>-1.506562549873752</v>
      </c>
      <c r="N630" s="304">
        <f t="shared" ca="1" si="278"/>
        <v>-86.319675680233587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4.0843000000000034</v>
      </c>
      <c r="T630" s="304">
        <f t="shared" ca="1" si="262"/>
        <v>40.066983000000036</v>
      </c>
      <c r="U630" s="311">
        <f t="shared" ca="1" si="263"/>
        <v>0</v>
      </c>
      <c r="V630" s="306">
        <f t="shared" ca="1" si="264"/>
        <v>1.2259809104077517</v>
      </c>
      <c r="W630" s="304">
        <f t="shared" ca="1" si="265"/>
        <v>33.413044754997891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 t="e">
        <f t="shared" ca="1" si="266"/>
        <v>#N/A</v>
      </c>
      <c r="AG630" s="306">
        <f t="shared" ca="1" si="288"/>
        <v>1.6089493879765886</v>
      </c>
      <c r="AH630" s="304">
        <f t="shared" ca="1" si="289"/>
        <v>-8.1808193566747942</v>
      </c>
    </row>
    <row r="631" spans="1:34" x14ac:dyDescent="0.2">
      <c r="A631" s="347">
        <f t="shared" ca="1" si="267"/>
        <v>1E-4</v>
      </c>
      <c r="B631" s="304">
        <f t="shared" ca="1" si="268"/>
        <v>41.609700000000615</v>
      </c>
      <c r="D631" s="306">
        <f t="shared" ca="1" si="269"/>
        <v>-0.52512559641868062</v>
      </c>
      <c r="E631" s="307">
        <f t="shared" ca="1" si="270"/>
        <v>-1.6460214218140745</v>
      </c>
      <c r="F631" s="304">
        <f t="shared" ca="1" si="271"/>
        <v>1.7277567574994179</v>
      </c>
      <c r="G631" s="306">
        <f t="shared" ca="1" si="272"/>
        <v>8.7689841611823436</v>
      </c>
      <c r="H631" s="307">
        <f t="shared" ca="1" si="273"/>
        <v>-136.32988847010157</v>
      </c>
      <c r="I631" s="304">
        <f t="shared" ca="1" si="274"/>
        <v>136.61161580732951</v>
      </c>
      <c r="J631" s="306">
        <f t="shared" ca="1" si="275"/>
        <v>712.18513894933824</v>
      </c>
      <c r="K631" s="307">
        <f t="shared" ca="1" si="276"/>
        <v>-8.0178602154062339</v>
      </c>
      <c r="L631" s="304">
        <f t="shared" ca="1" si="261"/>
        <v>712.23027050436576</v>
      </c>
      <c r="M631" s="306">
        <f t="shared" ca="1" si="277"/>
        <v>-1.5065630108156109</v>
      </c>
      <c r="N631" s="304">
        <f t="shared" ca="1" si="278"/>
        <v>-86.319702090256698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4.0843000000000034</v>
      </c>
      <c r="T631" s="304">
        <f t="shared" ca="1" si="262"/>
        <v>40.066983000000036</v>
      </c>
      <c r="U631" s="311">
        <f t="shared" ca="1" si="263"/>
        <v>0</v>
      </c>
      <c r="V631" s="306">
        <f t="shared" ca="1" si="264"/>
        <v>1.2259825817865579</v>
      </c>
      <c r="W631" s="304">
        <f t="shared" ca="1" si="265"/>
        <v>33.413169010479315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 t="e">
        <f t="shared" ca="1" si="266"/>
        <v>#N/A</v>
      </c>
      <c r="AG631" s="306">
        <f t="shared" ca="1" si="288"/>
        <v>1.6089192552665104</v>
      </c>
      <c r="AH631" s="304">
        <f t="shared" ca="1" si="289"/>
        <v>-8.1808497796434789</v>
      </c>
    </row>
    <row r="632" spans="1:34" x14ac:dyDescent="0.2">
      <c r="A632" s="347">
        <f t="shared" ca="1" si="267"/>
        <v>1E-4</v>
      </c>
      <c r="B632" s="304">
        <f t="shared" ca="1" si="268"/>
        <v>41.609800000000618</v>
      </c>
      <c r="D632" s="306">
        <f t="shared" ca="1" si="269"/>
        <v>-0.52512378610731569</v>
      </c>
      <c r="E632" s="307">
        <f t="shared" ca="1" si="270"/>
        <v>-1.6459908197901107</v>
      </c>
      <c r="F632" s="304">
        <f t="shared" ca="1" si="271"/>
        <v>1.7277270529713318</v>
      </c>
      <c r="G632" s="306">
        <f t="shared" ca="1" si="272"/>
        <v>8.7689316488037328</v>
      </c>
      <c r="H632" s="307">
        <f t="shared" ca="1" si="273"/>
        <v>-136.33005306918355</v>
      </c>
      <c r="I632" s="304">
        <f t="shared" ca="1" si="274"/>
        <v>136.6117766962563</v>
      </c>
      <c r="J632" s="306">
        <f t="shared" ca="1" si="275"/>
        <v>712.18513894933824</v>
      </c>
      <c r="K632" s="307">
        <f t="shared" ca="1" si="276"/>
        <v>-8.0314932124831984</v>
      </c>
      <c r="L632" s="304">
        <f t="shared" ca="1" si="261"/>
        <v>712.23042410691107</v>
      </c>
      <c r="M632" s="306">
        <f t="shared" ca="1" si="277"/>
        <v>-1.506563471753624</v>
      </c>
      <c r="N632" s="304">
        <f t="shared" ca="1" si="278"/>
        <v>-86.319728500059469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4.0843000000000034</v>
      </c>
      <c r="T632" s="304">
        <f t="shared" ca="1" si="262"/>
        <v>40.066983000000036</v>
      </c>
      <c r="U632" s="311">
        <f t="shared" ca="1" si="263"/>
        <v>0</v>
      </c>
      <c r="V632" s="306">
        <f t="shared" ca="1" si="264"/>
        <v>1.2259842531696616</v>
      </c>
      <c r="W632" s="304">
        <f t="shared" ca="1" si="265"/>
        <v>33.413293264911132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 t="e">
        <f t="shared" ca="1" si="266"/>
        <v>#N/A</v>
      </c>
      <c r="AG632" s="306">
        <f t="shared" ca="1" si="288"/>
        <v>1.6088891228089057</v>
      </c>
      <c r="AH632" s="304">
        <f t="shared" ca="1" si="289"/>
        <v>-8.180880202355187</v>
      </c>
    </row>
    <row r="633" spans="1:34" x14ac:dyDescent="0.2">
      <c r="A633" s="347">
        <f t="shared" ca="1" si="267"/>
        <v>1E-4</v>
      </c>
      <c r="B633" s="304">
        <f t="shared" ca="1" si="268"/>
        <v>41.609900000000621</v>
      </c>
      <c r="D633" s="306">
        <f t="shared" ca="1" si="269"/>
        <v>-0.52512197578275255</v>
      </c>
      <c r="E633" s="307">
        <f t="shared" ca="1" si="270"/>
        <v>-1.6459602180245572</v>
      </c>
      <c r="F633" s="304">
        <f t="shared" ca="1" si="271"/>
        <v>1.7276973487186433</v>
      </c>
      <c r="G633" s="306">
        <f t="shared" ca="1" si="272"/>
        <v>8.768879136606154</v>
      </c>
      <c r="H633" s="307">
        <f t="shared" ca="1" si="273"/>
        <v>-136.33021766520534</v>
      </c>
      <c r="I633" s="304">
        <f t="shared" ca="1" si="274"/>
        <v>136.61193758216984</v>
      </c>
      <c r="J633" s="306">
        <f t="shared" ca="1" si="275"/>
        <v>712.18513894933824</v>
      </c>
      <c r="K633" s="307">
        <f t="shared" ca="1" si="276"/>
        <v>-8.0451262260199172</v>
      </c>
      <c r="L633" s="304">
        <f t="shared" ca="1" si="261"/>
        <v>712.23057797056208</v>
      </c>
      <c r="M633" s="306">
        <f t="shared" ca="1" si="277"/>
        <v>-1.5065639326877911</v>
      </c>
      <c r="N633" s="304">
        <f t="shared" ca="1" si="278"/>
        <v>-86.319754909641873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4.0843000000000034</v>
      </c>
      <c r="T633" s="304">
        <f t="shared" ca="1" si="262"/>
        <v>40.066983000000036</v>
      </c>
      <c r="U633" s="311">
        <f t="shared" ca="1" si="263"/>
        <v>0</v>
      </c>
      <c r="V633" s="306">
        <f t="shared" ca="1" si="264"/>
        <v>1.2259859245570632</v>
      </c>
      <c r="W633" s="304">
        <f t="shared" ca="1" si="265"/>
        <v>33.413417518293379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 t="e">
        <f t="shared" ca="1" si="266"/>
        <v>#N/A</v>
      </c>
      <c r="AG633" s="306">
        <f t="shared" ca="1" si="288"/>
        <v>1.6088589906037871</v>
      </c>
      <c r="AH633" s="304">
        <f t="shared" ca="1" si="289"/>
        <v>-8.1809106248099077</v>
      </c>
    </row>
    <row r="634" spans="1:34" x14ac:dyDescent="0.2">
      <c r="A634" s="347">
        <f t="shared" ca="1" si="267"/>
        <v>1E-4</v>
      </c>
      <c r="B634" s="304">
        <f t="shared" ca="1" si="268"/>
        <v>41.610000000000625</v>
      </c>
      <c r="D634" s="306">
        <f t="shared" ca="1" si="269"/>
        <v>-0.52512016544499418</v>
      </c>
      <c r="E634" s="307">
        <f t="shared" ca="1" si="270"/>
        <v>-1.6459296165174049</v>
      </c>
      <c r="F634" s="304">
        <f t="shared" ca="1" si="271"/>
        <v>1.7276676447413459</v>
      </c>
      <c r="G634" s="306">
        <f t="shared" ca="1" si="272"/>
        <v>8.7688266245896092</v>
      </c>
      <c r="H634" s="307">
        <f t="shared" ca="1" si="273"/>
        <v>-136.33038225816699</v>
      </c>
      <c r="I634" s="304">
        <f t="shared" ca="1" si="274"/>
        <v>136.61209846507023</v>
      </c>
      <c r="J634" s="306">
        <f t="shared" ca="1" si="275"/>
        <v>712.18513894933824</v>
      </c>
      <c r="K634" s="307">
        <f t="shared" ca="1" si="276"/>
        <v>-8.058759256016085</v>
      </c>
      <c r="L634" s="304">
        <f t="shared" ca="1" si="261"/>
        <v>712.23073209531947</v>
      </c>
      <c r="M634" s="306">
        <f t="shared" ca="1" si="277"/>
        <v>-1.5065643936181121</v>
      </c>
      <c r="N634" s="304">
        <f t="shared" ca="1" si="278"/>
        <v>-86.319781319003923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4.0843000000000034</v>
      </c>
      <c r="T634" s="304">
        <f t="shared" ca="1" si="262"/>
        <v>40.066983000000036</v>
      </c>
      <c r="U634" s="311">
        <f t="shared" ca="1" si="263"/>
        <v>0</v>
      </c>
      <c r="V634" s="306">
        <f t="shared" ca="1" si="264"/>
        <v>1.2259875959487616</v>
      </c>
      <c r="W634" s="304">
        <f t="shared" ca="1" si="265"/>
        <v>33.413541770626047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 t="e">
        <f t="shared" ca="1" si="286"/>
        <v>#N/A</v>
      </c>
      <c r="AD634" s="323" t="e">
        <f t="shared" ca="1" si="287"/>
        <v>#N/A</v>
      </c>
      <c r="AE634" s="324" t="e">
        <f t="shared" ca="1" si="266"/>
        <v>#N/A</v>
      </c>
      <c r="AG634" s="306">
        <f t="shared" ca="1" si="288"/>
        <v>1.6088288586511457</v>
      </c>
      <c r="AH634" s="304">
        <f t="shared" ca="1" si="289"/>
        <v>-8.1809410470076518</v>
      </c>
    </row>
    <row r="635" spans="1:34" x14ac:dyDescent="0.2">
      <c r="A635" s="347">
        <f t="shared" ca="1" si="267"/>
        <v>1E-4</v>
      </c>
      <c r="B635" s="304">
        <f t="shared" ca="1" si="268"/>
        <v>41.610100000000628</v>
      </c>
      <c r="D635" s="306">
        <f t="shared" ca="1" si="269"/>
        <v>-0.52511835509404159</v>
      </c>
      <c r="E635" s="307">
        <f t="shared" ca="1" si="270"/>
        <v>-1.6458990152686539</v>
      </c>
      <c r="F635" s="304">
        <f t="shared" ca="1" si="271"/>
        <v>1.7276379410394402</v>
      </c>
      <c r="G635" s="306">
        <f t="shared" ca="1" si="272"/>
        <v>8.7687741127540999</v>
      </c>
      <c r="H635" s="307">
        <f t="shared" ca="1" si="273"/>
        <v>-136.33054684806851</v>
      </c>
      <c r="I635" s="304">
        <f t="shared" ca="1" si="274"/>
        <v>136.61225934495741</v>
      </c>
      <c r="J635" s="306">
        <f t="shared" ca="1" si="275"/>
        <v>712.18513894933824</v>
      </c>
      <c r="K635" s="307">
        <f t="shared" ca="1" si="276"/>
        <v>-8.0723923024713962</v>
      </c>
      <c r="L635" s="304">
        <f t="shared" ca="1" si="261"/>
        <v>712.23088648118403</v>
      </c>
      <c r="M635" s="306">
        <f t="shared" ca="1" si="277"/>
        <v>-1.5065648545445873</v>
      </c>
      <c r="N635" s="304">
        <f t="shared" ca="1" si="278"/>
        <v>-86.319807728145619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4.0843000000000034</v>
      </c>
      <c r="T635" s="304">
        <f t="shared" ca="1" si="262"/>
        <v>40.066983000000036</v>
      </c>
      <c r="U635" s="311">
        <f t="shared" ca="1" si="263"/>
        <v>0</v>
      </c>
      <c r="V635" s="306">
        <f t="shared" ca="1" si="264"/>
        <v>1.2259892673447577</v>
      </c>
      <c r="W635" s="304">
        <f t="shared" ca="1" si="265"/>
        <v>33.413666021909115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 t="e">
        <f t="shared" ca="1" si="266"/>
        <v>#N/A</v>
      </c>
      <c r="AG635" s="306">
        <f t="shared" ca="1" si="288"/>
        <v>1.6087987269509778</v>
      </c>
      <c r="AH635" s="304">
        <f t="shared" ca="1" si="289"/>
        <v>-8.1809714689484174</v>
      </c>
    </row>
    <row r="636" spans="1:34" x14ac:dyDescent="0.2">
      <c r="A636" s="347">
        <f t="shared" ca="1" si="267"/>
        <v>1E-4</v>
      </c>
      <c r="B636" s="304">
        <f t="shared" ca="1" si="268"/>
        <v>41.610200000000631</v>
      </c>
      <c r="D636" s="306">
        <f t="shared" ca="1" si="269"/>
        <v>-0.52511654472989289</v>
      </c>
      <c r="E636" s="307">
        <f t="shared" ca="1" si="270"/>
        <v>-1.6458684142783113</v>
      </c>
      <c r="F636" s="304">
        <f t="shared" ca="1" si="271"/>
        <v>1.7276082376129331</v>
      </c>
      <c r="G636" s="306">
        <f t="shared" ca="1" si="272"/>
        <v>8.7687216010996263</v>
      </c>
      <c r="H636" s="307">
        <f t="shared" ca="1" si="273"/>
        <v>-136.33071143490994</v>
      </c>
      <c r="I636" s="304">
        <f t="shared" ca="1" si="274"/>
        <v>136.61242022183148</v>
      </c>
      <c r="J636" s="306">
        <f t="shared" ca="1" si="275"/>
        <v>712.18513894933824</v>
      </c>
      <c r="K636" s="307">
        <f t="shared" ca="1" si="276"/>
        <v>-8.0860253653855452</v>
      </c>
      <c r="L636" s="304">
        <f t="shared" ca="1" si="261"/>
        <v>712.23104112815656</v>
      </c>
      <c r="M636" s="306">
        <f t="shared" ca="1" si="277"/>
        <v>-1.5065653154672169</v>
      </c>
      <c r="N636" s="304">
        <f t="shared" ca="1" si="278"/>
        <v>-86.319834137066977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4.0843000000000034</v>
      </c>
      <c r="T636" s="304">
        <f t="shared" ca="1" si="262"/>
        <v>40.066983000000036</v>
      </c>
      <c r="U636" s="311">
        <f t="shared" ca="1" si="263"/>
        <v>0</v>
      </c>
      <c r="V636" s="306">
        <f t="shared" ca="1" si="264"/>
        <v>1.2259909387450509</v>
      </c>
      <c r="W636" s="304">
        <f t="shared" ca="1" si="265"/>
        <v>33.413790272142627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 t="e">
        <f t="shared" ca="1" si="266"/>
        <v>#N/A</v>
      </c>
      <c r="AG636" s="306">
        <f t="shared" ca="1" si="288"/>
        <v>1.6087685955032978</v>
      </c>
      <c r="AH636" s="304">
        <f t="shared" ca="1" si="289"/>
        <v>-8.1810018906321975</v>
      </c>
    </row>
    <row r="637" spans="1:34" x14ac:dyDescent="0.2">
      <c r="A637" s="347">
        <f t="shared" ca="1" si="267"/>
        <v>1E-4</v>
      </c>
      <c r="B637" s="304">
        <f t="shared" ca="1" si="268"/>
        <v>41.610300000000635</v>
      </c>
      <c r="D637" s="306">
        <f t="shared" ca="1" si="269"/>
        <v>-0.52511473435254796</v>
      </c>
      <c r="E637" s="307">
        <f t="shared" ca="1" si="270"/>
        <v>-1.6458378135463665</v>
      </c>
      <c r="F637" s="304">
        <f t="shared" ca="1" si="271"/>
        <v>1.7275785344618146</v>
      </c>
      <c r="G637" s="306">
        <f t="shared" ca="1" si="272"/>
        <v>8.7686690896261918</v>
      </c>
      <c r="H637" s="307">
        <f t="shared" ca="1" si="273"/>
        <v>-136.3308760186913</v>
      </c>
      <c r="I637" s="304">
        <f t="shared" ca="1" si="274"/>
        <v>136.61258109569243</v>
      </c>
      <c r="J637" s="306">
        <f t="shared" ca="1" si="275"/>
        <v>712.18513894933824</v>
      </c>
      <c r="K637" s="307">
        <f t="shared" ca="1" si="276"/>
        <v>-8.0996584447582247</v>
      </c>
      <c r="L637" s="304">
        <f t="shared" ca="1" si="261"/>
        <v>712.23119603623798</v>
      </c>
      <c r="M637" s="306">
        <f t="shared" ca="1" si="277"/>
        <v>-1.5065657763860005</v>
      </c>
      <c r="N637" s="304">
        <f t="shared" ca="1" si="278"/>
        <v>-86.31986054576798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4.0843000000000034</v>
      </c>
      <c r="T637" s="304">
        <f t="shared" ca="1" si="262"/>
        <v>40.066983000000036</v>
      </c>
      <c r="U637" s="311">
        <f t="shared" ca="1" si="263"/>
        <v>0</v>
      </c>
      <c r="V637" s="306">
        <f t="shared" ca="1" si="264"/>
        <v>1.2259926101496419</v>
      </c>
      <c r="W637" s="304">
        <f t="shared" ca="1" si="265"/>
        <v>33.413914521326561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 t="e">
        <f t="shared" ca="1" si="266"/>
        <v>#N/A</v>
      </c>
      <c r="AG637" s="306">
        <f t="shared" ca="1" si="288"/>
        <v>1.608738464308086</v>
      </c>
      <c r="AH637" s="304">
        <f t="shared" ca="1" si="289"/>
        <v>-8.1810323120590063</v>
      </c>
    </row>
    <row r="638" spans="1:34" x14ac:dyDescent="0.2">
      <c r="A638" s="347">
        <f t="shared" ca="1" si="267"/>
        <v>1E-4</v>
      </c>
      <c r="B638" s="304">
        <f t="shared" ca="1" si="268"/>
        <v>41.610400000000638</v>
      </c>
      <c r="D638" s="306">
        <f t="shared" ca="1" si="269"/>
        <v>-0.5251129239620107</v>
      </c>
      <c r="E638" s="307">
        <f t="shared" ca="1" si="270"/>
        <v>-1.6458072130728247</v>
      </c>
      <c r="F638" s="304">
        <f t="shared" ca="1" si="271"/>
        <v>1.7275488315860918</v>
      </c>
      <c r="G638" s="306">
        <f t="shared" ca="1" si="272"/>
        <v>8.7686165783337948</v>
      </c>
      <c r="H638" s="307">
        <f t="shared" ca="1" si="273"/>
        <v>-136.3310405994126</v>
      </c>
      <c r="I638" s="304">
        <f t="shared" ca="1" si="274"/>
        <v>136.61274196654028</v>
      </c>
      <c r="J638" s="306">
        <f t="shared" ca="1" si="275"/>
        <v>712.18513894933824</v>
      </c>
      <c r="K638" s="307">
        <f t="shared" ca="1" si="276"/>
        <v>-8.1132915405891293</v>
      </c>
      <c r="L638" s="304">
        <f t="shared" ca="1" si="261"/>
        <v>712.23135120542884</v>
      </c>
      <c r="M638" s="306">
        <f t="shared" ca="1" si="277"/>
        <v>-1.5065662373009383</v>
      </c>
      <c r="N638" s="304">
        <f t="shared" ca="1" si="278"/>
        <v>-86.319886954248616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4.0843000000000034</v>
      </c>
      <c r="T638" s="304">
        <f t="shared" ca="1" si="262"/>
        <v>40.066983000000036</v>
      </c>
      <c r="U638" s="311">
        <f t="shared" ca="1" si="263"/>
        <v>0</v>
      </c>
      <c r="V638" s="306">
        <f t="shared" ca="1" si="264"/>
        <v>1.2259942815585303</v>
      </c>
      <c r="W638" s="304">
        <f t="shared" ca="1" si="265"/>
        <v>33.414038769460937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 t="e">
        <f t="shared" ca="1" si="266"/>
        <v>#N/A</v>
      </c>
      <c r="AG638" s="306">
        <f t="shared" ca="1" si="288"/>
        <v>1.6087083333653514</v>
      </c>
      <c r="AH638" s="304">
        <f t="shared" ca="1" si="289"/>
        <v>-8.1810627332288348</v>
      </c>
    </row>
    <row r="639" spans="1:34" x14ac:dyDescent="0.2">
      <c r="A639" s="347">
        <f t="shared" ca="1" si="267"/>
        <v>1E-4</v>
      </c>
      <c r="B639" s="304">
        <f t="shared" ca="1" si="268"/>
        <v>41.610500000000641</v>
      </c>
      <c r="D639" s="306">
        <f t="shared" ca="1" si="269"/>
        <v>-0.52511111355828033</v>
      </c>
      <c r="E639" s="307">
        <f t="shared" ca="1" si="270"/>
        <v>-1.645776612857679</v>
      </c>
      <c r="F639" s="304">
        <f t="shared" ca="1" si="271"/>
        <v>1.7275191289857579</v>
      </c>
      <c r="G639" s="306">
        <f t="shared" ca="1" si="272"/>
        <v>8.7685640672224388</v>
      </c>
      <c r="H639" s="307">
        <f t="shared" ca="1" si="273"/>
        <v>-136.33120517707388</v>
      </c>
      <c r="I639" s="304">
        <f t="shared" ca="1" si="274"/>
        <v>136.61290283437506</v>
      </c>
      <c r="J639" s="306">
        <f t="shared" ca="1" si="275"/>
        <v>712.18513894933824</v>
      </c>
      <c r="K639" s="307">
        <f t="shared" ca="1" si="276"/>
        <v>-8.1269246528779533</v>
      </c>
      <c r="L639" s="304">
        <f t="shared" ca="1" si="261"/>
        <v>712.23150663572994</v>
      </c>
      <c r="M639" s="306">
        <f t="shared" ca="1" si="277"/>
        <v>-1.5065666982120305</v>
      </c>
      <c r="N639" s="304">
        <f t="shared" ca="1" si="278"/>
        <v>-86.319913362508942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4.0843000000000034</v>
      </c>
      <c r="T639" s="304">
        <f t="shared" ca="1" si="262"/>
        <v>40.066983000000036</v>
      </c>
      <c r="U639" s="311">
        <f t="shared" ca="1" si="263"/>
        <v>0</v>
      </c>
      <c r="V639" s="306">
        <f t="shared" ca="1" si="264"/>
        <v>1.2259959529717157</v>
      </c>
      <c r="W639" s="304">
        <f t="shared" ca="1" si="265"/>
        <v>33.414163016545714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 t="e">
        <f t="shared" ca="1" si="266"/>
        <v>#N/A</v>
      </c>
      <c r="AG639" s="306">
        <f t="shared" ca="1" si="288"/>
        <v>1.6086782026750885</v>
      </c>
      <c r="AH639" s="304">
        <f t="shared" ca="1" si="289"/>
        <v>-8.181093154141692</v>
      </c>
    </row>
    <row r="640" spans="1:34" x14ac:dyDescent="0.2">
      <c r="A640" s="347">
        <f t="shared" ca="1" si="267"/>
        <v>1E-4</v>
      </c>
      <c r="B640" s="304">
        <f t="shared" ca="1" si="268"/>
        <v>41.610600000000645</v>
      </c>
      <c r="D640" s="306">
        <f t="shared" ca="1" si="269"/>
        <v>-0.52510930314135496</v>
      </c>
      <c r="E640" s="307">
        <f t="shared" ca="1" si="270"/>
        <v>-1.6457460129009416</v>
      </c>
      <c r="F640" s="304">
        <f t="shared" ca="1" si="271"/>
        <v>1.7274894266608249</v>
      </c>
      <c r="G640" s="306">
        <f t="shared" ca="1" si="272"/>
        <v>8.7685115562921254</v>
      </c>
      <c r="H640" s="307">
        <f t="shared" ca="1" si="273"/>
        <v>-136.33136975167517</v>
      </c>
      <c r="I640" s="304">
        <f t="shared" ca="1" si="274"/>
        <v>136.61306369919677</v>
      </c>
      <c r="J640" s="306">
        <f t="shared" ca="1" si="275"/>
        <v>712.18513894933824</v>
      </c>
      <c r="K640" s="307">
        <f t="shared" ca="1" si="276"/>
        <v>-8.1405577816243913</v>
      </c>
      <c r="L640" s="304">
        <f t="shared" ca="1" si="261"/>
        <v>712.23166232714209</v>
      </c>
      <c r="M640" s="306">
        <f t="shared" ca="1" si="277"/>
        <v>-1.5065671591192771</v>
      </c>
      <c r="N640" s="304">
        <f t="shared" ca="1" si="278"/>
        <v>-86.319939770548913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4.0843000000000034</v>
      </c>
      <c r="T640" s="304">
        <f t="shared" ca="1" si="262"/>
        <v>40.066983000000036</v>
      </c>
      <c r="U640" s="311">
        <f t="shared" ca="1" si="263"/>
        <v>0</v>
      </c>
      <c r="V640" s="306">
        <f t="shared" ca="1" si="264"/>
        <v>1.2259976243891986</v>
      </c>
      <c r="W640" s="304">
        <f t="shared" ca="1" si="265"/>
        <v>33.414287262580913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 t="e">
        <f t="shared" ca="1" si="266"/>
        <v>#N/A</v>
      </c>
      <c r="AG640" s="306">
        <f t="shared" ca="1" si="288"/>
        <v>1.60864807223731</v>
      </c>
      <c r="AH640" s="304">
        <f t="shared" ca="1" si="289"/>
        <v>-8.1811235747975637</v>
      </c>
    </row>
    <row r="641" spans="1:34" x14ac:dyDescent="0.2">
      <c r="A641" s="347">
        <f t="shared" ca="1" si="267"/>
        <v>1E-4</v>
      </c>
      <c r="B641" s="304">
        <f t="shared" ca="1" si="268"/>
        <v>41.610700000000648</v>
      </c>
      <c r="D641" s="306">
        <f t="shared" ca="1" si="269"/>
        <v>-0.5251074927112358</v>
      </c>
      <c r="E641" s="307">
        <f t="shared" ca="1" si="270"/>
        <v>-1.6457154132026073</v>
      </c>
      <c r="F641" s="304">
        <f t="shared" ca="1" si="271"/>
        <v>1.7274597246112886</v>
      </c>
      <c r="G641" s="306">
        <f t="shared" ca="1" si="272"/>
        <v>8.7684590455428548</v>
      </c>
      <c r="H641" s="307">
        <f t="shared" ca="1" si="273"/>
        <v>-136.33153432321649</v>
      </c>
      <c r="I641" s="304">
        <f t="shared" ca="1" si="274"/>
        <v>136.61322456100552</v>
      </c>
      <c r="J641" s="306">
        <f t="shared" ca="1" si="275"/>
        <v>712.18513894933824</v>
      </c>
      <c r="K641" s="307">
        <f t="shared" ca="1" si="276"/>
        <v>-8.1541909268281358</v>
      </c>
      <c r="L641" s="304">
        <f t="shared" ca="1" si="261"/>
        <v>712.23181827966619</v>
      </c>
      <c r="M641" s="306">
        <f t="shared" ca="1" si="277"/>
        <v>-1.5065676200226779</v>
      </c>
      <c r="N641" s="304">
        <f t="shared" ca="1" si="278"/>
        <v>-86.319966178368546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4.0843000000000034</v>
      </c>
      <c r="T641" s="304">
        <f t="shared" ca="1" si="262"/>
        <v>40.066983000000036</v>
      </c>
      <c r="U641" s="311">
        <f t="shared" ca="1" si="263"/>
        <v>0</v>
      </c>
      <c r="V641" s="306">
        <f t="shared" ca="1" si="264"/>
        <v>1.2259992958109782</v>
      </c>
      <c r="W641" s="304">
        <f t="shared" ca="1" si="265"/>
        <v>33.41441150756657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 t="e">
        <f t="shared" ca="1" si="266"/>
        <v>#N/A</v>
      </c>
      <c r="AG641" s="306">
        <f t="shared" ca="1" si="288"/>
        <v>1.6086179420520068</v>
      </c>
      <c r="AH641" s="304">
        <f t="shared" ca="1" si="289"/>
        <v>-8.1811539951964569</v>
      </c>
    </row>
    <row r="642" spans="1:34" x14ac:dyDescent="0.2">
      <c r="A642" s="347">
        <f t="shared" ca="1" si="267"/>
        <v>1E-4</v>
      </c>
      <c r="B642" s="304">
        <f t="shared" ca="1" si="268"/>
        <v>41.610800000000651</v>
      </c>
      <c r="D642" s="306">
        <f t="shared" ca="1" si="269"/>
        <v>-0.52510568226792587</v>
      </c>
      <c r="E642" s="307">
        <f t="shared" ca="1" si="270"/>
        <v>-1.645684813762669</v>
      </c>
      <c r="F642" s="304">
        <f t="shared" ca="1" si="271"/>
        <v>1.7274300228371435</v>
      </c>
      <c r="G642" s="306">
        <f t="shared" ca="1" si="272"/>
        <v>8.7684065349746287</v>
      </c>
      <c r="H642" s="307">
        <f t="shared" ca="1" si="273"/>
        <v>-136.33169889169787</v>
      </c>
      <c r="I642" s="304">
        <f t="shared" ca="1" si="274"/>
        <v>136.61338541980123</v>
      </c>
      <c r="J642" s="306">
        <f t="shared" ca="1" si="275"/>
        <v>712.18513894933824</v>
      </c>
      <c r="K642" s="307">
        <f t="shared" ca="1" si="276"/>
        <v>-8.1678240884888815</v>
      </c>
      <c r="L642" s="304">
        <f t="shared" ca="1" si="261"/>
        <v>712.2319744933028</v>
      </c>
      <c r="M642" s="306">
        <f t="shared" ca="1" si="277"/>
        <v>-1.5065680809222333</v>
      </c>
      <c r="N642" s="304">
        <f t="shared" ca="1" si="278"/>
        <v>-86.319992585967839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4.0843000000000034</v>
      </c>
      <c r="T642" s="304">
        <f t="shared" ca="1" si="262"/>
        <v>40.066983000000036</v>
      </c>
      <c r="U642" s="311">
        <f t="shared" ca="1" si="263"/>
        <v>0</v>
      </c>
      <c r="V642" s="306">
        <f t="shared" ca="1" si="264"/>
        <v>1.2260009672370558</v>
      </c>
      <c r="W642" s="304">
        <f t="shared" ca="1" si="265"/>
        <v>33.41453575150264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 t="e">
        <f t="shared" ca="1" si="266"/>
        <v>#N/A</v>
      </c>
      <c r="AG642" s="306">
        <f t="shared" ca="1" si="288"/>
        <v>1.6085878121191755</v>
      </c>
      <c r="AH642" s="304">
        <f t="shared" ca="1" si="289"/>
        <v>-8.1811844153383788</v>
      </c>
    </row>
    <row r="643" spans="1:34" x14ac:dyDescent="0.2">
      <c r="A643" s="347">
        <f t="shared" ca="1" si="267"/>
        <v>1E-4</v>
      </c>
      <c r="B643" s="304">
        <f t="shared" ca="1" si="268"/>
        <v>41.610900000000655</v>
      </c>
      <c r="D643" s="306">
        <f t="shared" ca="1" si="269"/>
        <v>-0.5251038718114216</v>
      </c>
      <c r="E643" s="307">
        <f t="shared" ca="1" si="270"/>
        <v>-1.6456542145811337</v>
      </c>
      <c r="F643" s="304">
        <f t="shared" ca="1" si="271"/>
        <v>1.7274003213383962</v>
      </c>
      <c r="G643" s="306">
        <f t="shared" ca="1" si="272"/>
        <v>8.7683540245874472</v>
      </c>
      <c r="H643" s="307">
        <f t="shared" ca="1" si="273"/>
        <v>-136.33186345711934</v>
      </c>
      <c r="I643" s="304">
        <f t="shared" ca="1" si="274"/>
        <v>136.61354627558399</v>
      </c>
      <c r="J643" s="306">
        <f t="shared" ca="1" si="275"/>
        <v>712.18513894933824</v>
      </c>
      <c r="K643" s="307">
        <f t="shared" ca="1" si="276"/>
        <v>-8.1814572666063228</v>
      </c>
      <c r="L643" s="304">
        <f t="shared" ca="1" si="261"/>
        <v>712.23213096805284</v>
      </c>
      <c r="M643" s="306">
        <f t="shared" ca="1" si="277"/>
        <v>-1.5065685418179433</v>
      </c>
      <c r="N643" s="304">
        <f t="shared" ca="1" si="278"/>
        <v>-86.320018993346821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4.0843000000000034</v>
      </c>
      <c r="T643" s="304">
        <f t="shared" ca="1" si="262"/>
        <v>40.066983000000036</v>
      </c>
      <c r="U643" s="311">
        <f t="shared" ca="1" si="263"/>
        <v>0</v>
      </c>
      <c r="V643" s="306">
        <f t="shared" ca="1" si="264"/>
        <v>1.2260026386674301</v>
      </c>
      <c r="W643" s="304">
        <f t="shared" ca="1" si="265"/>
        <v>33.41465999438914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 t="e">
        <f t="shared" ca="1" si="266"/>
        <v>#N/A</v>
      </c>
      <c r="AG643" s="306">
        <f t="shared" ca="1" si="288"/>
        <v>1.6085576824388212</v>
      </c>
      <c r="AH643" s="304">
        <f t="shared" ca="1" si="289"/>
        <v>-8.1812148352233223</v>
      </c>
    </row>
    <row r="644" spans="1:34" x14ac:dyDescent="0.2">
      <c r="A644" s="347">
        <f t="shared" ca="1" si="267"/>
        <v>1E-4</v>
      </c>
      <c r="B644" s="304">
        <f t="shared" ca="1" si="268"/>
        <v>41.611000000000658</v>
      </c>
      <c r="D644" s="306">
        <f t="shared" ca="1" si="269"/>
        <v>-0.52510206134172388</v>
      </c>
      <c r="E644" s="307">
        <f t="shared" ca="1" si="270"/>
        <v>-1.6456236156579997</v>
      </c>
      <c r="F644" s="304">
        <f t="shared" ca="1" si="271"/>
        <v>1.7273706201150452</v>
      </c>
      <c r="G644" s="306">
        <f t="shared" ca="1" si="272"/>
        <v>8.7683015143813137</v>
      </c>
      <c r="H644" s="307">
        <f t="shared" ca="1" si="273"/>
        <v>-136.3320280194809</v>
      </c>
      <c r="I644" s="304">
        <f t="shared" ca="1" si="274"/>
        <v>136.61370712835381</v>
      </c>
      <c r="J644" s="306">
        <f t="shared" ca="1" si="275"/>
        <v>712.18513894933824</v>
      </c>
      <c r="K644" s="307">
        <f t="shared" ca="1" si="276"/>
        <v>-8.1950904611801523</v>
      </c>
      <c r="L644" s="304">
        <f t="shared" ref="L644:L707" ca="1" si="290">SQRT(pos_x^2+pos_z^2)</f>
        <v>712.232287703917</v>
      </c>
      <c r="M644" s="306">
        <f t="shared" ca="1" si="277"/>
        <v>-1.5065690027098075</v>
      </c>
      <c r="N644" s="304">
        <f t="shared" ca="1" si="278"/>
        <v>-86.320045400505464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4.0843000000000034</v>
      </c>
      <c r="T644" s="304">
        <f t="shared" ref="T644:T707" ca="1" si="291">m*g</f>
        <v>40.066983000000036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1.2260043101021014</v>
      </c>
      <c r="W644" s="304">
        <f t="shared" ref="W644:W707" ca="1" si="294">1/2*Rho*Sref*Cx*vit_xz^2</f>
        <v>33.414784236226076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 t="e">
        <f t="shared" ca="1" si="286"/>
        <v>#N/A</v>
      </c>
      <c r="AD644" s="323" t="e">
        <f t="shared" ca="1" si="287"/>
        <v>#N/A</v>
      </c>
      <c r="AE644" s="324" t="e">
        <f t="shared" ref="AE644:AE707" ca="1" si="295">IF(t&lt;T_para, pos_z, NA())</f>
        <v>#N/A</v>
      </c>
      <c r="AG644" s="306">
        <f t="shared" ca="1" si="288"/>
        <v>1.6085275530109424</v>
      </c>
      <c r="AH644" s="304">
        <f t="shared" ca="1" si="289"/>
        <v>-8.1812452548512873</v>
      </c>
    </row>
    <row r="645" spans="1:34" x14ac:dyDescent="0.2">
      <c r="A645" s="347">
        <f t="shared" ref="A645:A708" ca="1" si="296">IF(B644+0.01&lt;=T_ini+ROUNDUP(Temps_fin_propu,0), 0.01, IF(K644&gt;0, 0.1, 0.0001))</f>
        <v>1E-4</v>
      </c>
      <c r="B645" s="304">
        <f t="shared" ref="B645:B708" ca="1" si="297">B644+pas</f>
        <v>41.611100000000661</v>
      </c>
      <c r="D645" s="306">
        <f t="shared" ref="D645:D708" ca="1" si="298">IF(AND(L644&lt;L_rampe,Poussee&lt;Poids*SIN(M644)),0,(-W644+Poussee)/m*COS(M644)-U644/m*SIN(M644))</f>
        <v>-0.52510025085883716</v>
      </c>
      <c r="E645" s="307">
        <f t="shared" ref="E645:E708" ca="1" si="299">IF(AND(L644&lt;L_rampe,Poussee&lt;Poids*SIN(M644)),0,(-W644+Poussee)/m*SIN(M644)+U644/m*COS(M644)-Poids/m)</f>
        <v>-1.6455930169932635</v>
      </c>
      <c r="F645" s="304">
        <f t="shared" ref="F645:F708" ca="1" si="300">SQRT(acc_x^2+acc_z^2)</f>
        <v>1.7273409191670894</v>
      </c>
      <c r="G645" s="306">
        <f t="shared" ref="G645:G708" ca="1" si="301">G644+acc_x*pas</f>
        <v>8.7682490043562282</v>
      </c>
      <c r="H645" s="307">
        <f t="shared" ref="H645:H708" ca="1" si="302">H644+acc_z*pas</f>
        <v>-136.33219257878261</v>
      </c>
      <c r="I645" s="304">
        <f t="shared" ref="I645:I708" ca="1" si="303">SQRT(vit_x^2+vit_z^2)</f>
        <v>136.6138679781107</v>
      </c>
      <c r="J645" s="306">
        <f t="shared" ref="J645:J708" ca="1" si="304">J644+0.5*(vit_x+G644)*pas*(K644&gt;=0)</f>
        <v>712.18513894933824</v>
      </c>
      <c r="K645" s="307">
        <f t="shared" ref="K645:K708" ca="1" si="305">K644+0.5*(vit_z+H644)*pas</f>
        <v>-8.2087236722100663</v>
      </c>
      <c r="L645" s="304">
        <f t="shared" ca="1" si="290"/>
        <v>712.23244470089605</v>
      </c>
      <c r="M645" s="306">
        <f t="shared" ref="M645:M708" ca="1" si="306">IF(AND(L644&gt;L_rampe,G645&gt;0),ATAN2(G645,H645),$M$4)</f>
        <v>-1.5065694635978266</v>
      </c>
      <c r="N645" s="304">
        <f t="shared" ref="N645:N708" ca="1" si="307">DEGREES(Beta)</f>
        <v>-86.320071807443782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4.0843000000000034</v>
      </c>
      <c r="T645" s="304">
        <f t="shared" ca="1" si="291"/>
        <v>40.066983000000036</v>
      </c>
      <c r="U645" s="311">
        <f t="shared" ca="1" si="292"/>
        <v>0</v>
      </c>
      <c r="V645" s="306">
        <f t="shared" ca="1" si="293"/>
        <v>1.2260059815410704</v>
      </c>
      <c r="W645" s="304">
        <f t="shared" ca="1" si="294"/>
        <v>33.414908477013469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 t="e">
        <f t="shared" ca="1" si="295"/>
        <v>#N/A</v>
      </c>
      <c r="AG645" s="306">
        <f t="shared" ref="AG645:AG708" ca="1" si="317">IF(AND(L644&lt;L_rampe,Poussee&lt;Poids*SIN(M644)),0,(-W644+Poussee)/m-Poids*SIN(M644)/m)</f>
        <v>1.6084974238355407</v>
      </c>
      <c r="AH645" s="304">
        <f t="shared" ref="AH645:AH708" ca="1" si="318">IF(AND(L644&lt;L_rampe,Poussee&lt;Poids*SIN(M644)), g*SIN(M644), (-W644+Poussee)/m)</f>
        <v>-8.1812756742222774</v>
      </c>
    </row>
    <row r="646" spans="1:34" x14ac:dyDescent="0.2">
      <c r="A646" s="347">
        <f t="shared" ca="1" si="296"/>
        <v>1E-4</v>
      </c>
      <c r="B646" s="304">
        <f t="shared" ca="1" si="297"/>
        <v>41.611200000000665</v>
      </c>
      <c r="D646" s="306">
        <f t="shared" ca="1" si="298"/>
        <v>-0.5250984403627571</v>
      </c>
      <c r="E646" s="307">
        <f t="shared" ca="1" si="299"/>
        <v>-1.6455624185869215</v>
      </c>
      <c r="F646" s="304">
        <f t="shared" ca="1" si="300"/>
        <v>1.7273112184945245</v>
      </c>
      <c r="G646" s="306">
        <f t="shared" ca="1" si="301"/>
        <v>8.7681964945121926</v>
      </c>
      <c r="H646" s="307">
        <f t="shared" ca="1" si="302"/>
        <v>-136.33235713502447</v>
      </c>
      <c r="I646" s="304">
        <f t="shared" ca="1" si="303"/>
        <v>136.6140288248547</v>
      </c>
      <c r="J646" s="306">
        <f t="shared" ca="1" si="304"/>
        <v>712.18513894933824</v>
      </c>
      <c r="K646" s="307">
        <f t="shared" ca="1" si="305"/>
        <v>-8.2223568996957574</v>
      </c>
      <c r="L646" s="304">
        <f t="shared" ca="1" si="290"/>
        <v>712.23260195899081</v>
      </c>
      <c r="M646" s="306">
        <f t="shared" ca="1" si="306"/>
        <v>-1.5065699244820003</v>
      </c>
      <c r="N646" s="304">
        <f t="shared" ca="1" si="307"/>
        <v>-86.320098214161774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4.0843000000000034</v>
      </c>
      <c r="T646" s="304">
        <f t="shared" ca="1" si="291"/>
        <v>40.066983000000036</v>
      </c>
      <c r="U646" s="311">
        <f t="shared" ca="1" si="292"/>
        <v>0</v>
      </c>
      <c r="V646" s="306">
        <f t="shared" ca="1" si="293"/>
        <v>1.2260076529843362</v>
      </c>
      <c r="W646" s="304">
        <f t="shared" ca="1" si="294"/>
        <v>33.41503271675127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 t="e">
        <f t="shared" ca="1" si="295"/>
        <v>#N/A</v>
      </c>
      <c r="AG646" s="306">
        <f t="shared" ca="1" si="317"/>
        <v>1.6084672949126073</v>
      </c>
      <c r="AH646" s="304">
        <f t="shared" ca="1" si="318"/>
        <v>-8.181306093336298</v>
      </c>
    </row>
    <row r="647" spans="1:34" x14ac:dyDescent="0.2">
      <c r="A647" s="347">
        <f t="shared" ca="1" si="296"/>
        <v>1E-4</v>
      </c>
      <c r="B647" s="304">
        <f t="shared" ca="1" si="297"/>
        <v>41.611300000000668</v>
      </c>
      <c r="D647" s="306">
        <f t="shared" ca="1" si="298"/>
        <v>-0.52509662985348526</v>
      </c>
      <c r="E647" s="307">
        <f t="shared" ca="1" si="299"/>
        <v>-1.6455318204389862</v>
      </c>
      <c r="F647" s="304">
        <f t="shared" ca="1" si="300"/>
        <v>1.7272815180973631</v>
      </c>
      <c r="G647" s="306">
        <f t="shared" ca="1" si="301"/>
        <v>8.7681439848492069</v>
      </c>
      <c r="H647" s="307">
        <f t="shared" ca="1" si="302"/>
        <v>-136.3325216882065</v>
      </c>
      <c r="I647" s="304">
        <f t="shared" ca="1" si="303"/>
        <v>136.61418966858582</v>
      </c>
      <c r="J647" s="306">
        <f t="shared" ca="1" si="304"/>
        <v>712.18513894933824</v>
      </c>
      <c r="K647" s="307">
        <f t="shared" ca="1" si="305"/>
        <v>-8.2359901436369185</v>
      </c>
      <c r="L647" s="304">
        <f t="shared" ca="1" si="290"/>
        <v>712.23275947820196</v>
      </c>
      <c r="M647" s="306">
        <f t="shared" ca="1" si="306"/>
        <v>-1.5065703853623285</v>
      </c>
      <c r="N647" s="304">
        <f t="shared" ca="1" si="307"/>
        <v>-86.320124620659442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4.0843000000000034</v>
      </c>
      <c r="T647" s="304">
        <f t="shared" ca="1" si="291"/>
        <v>40.066983000000036</v>
      </c>
      <c r="U647" s="311">
        <f t="shared" ca="1" si="292"/>
        <v>0</v>
      </c>
      <c r="V647" s="306">
        <f t="shared" ca="1" si="293"/>
        <v>1.2260093244318993</v>
      </c>
      <c r="W647" s="304">
        <f t="shared" ca="1" si="294"/>
        <v>33.415156955439521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 t="e">
        <f t="shared" ca="1" si="295"/>
        <v>#N/A</v>
      </c>
      <c r="AG647" s="306">
        <f t="shared" ca="1" si="317"/>
        <v>1.6084371662421564</v>
      </c>
      <c r="AH647" s="304">
        <f t="shared" ca="1" si="318"/>
        <v>-8.1813365121933366</v>
      </c>
    </row>
    <row r="648" spans="1:34" x14ac:dyDescent="0.2">
      <c r="A648" s="347">
        <f t="shared" ca="1" si="296"/>
        <v>1E-4</v>
      </c>
      <c r="B648" s="304">
        <f t="shared" ca="1" si="297"/>
        <v>41.611400000000671</v>
      </c>
      <c r="D648" s="306">
        <f t="shared" ca="1" si="298"/>
        <v>-0.52509481933102509</v>
      </c>
      <c r="E648" s="307">
        <f t="shared" ca="1" si="299"/>
        <v>-1.6455012225494468</v>
      </c>
      <c r="F648" s="304">
        <f t="shared" ca="1" si="300"/>
        <v>1.7272518179755971</v>
      </c>
      <c r="G648" s="306">
        <f t="shared" ca="1" si="301"/>
        <v>8.7680914753672745</v>
      </c>
      <c r="H648" s="307">
        <f t="shared" ca="1" si="302"/>
        <v>-136.33268623832876</v>
      </c>
      <c r="I648" s="304">
        <f t="shared" ca="1" si="303"/>
        <v>136.61435050930413</v>
      </c>
      <c r="J648" s="306">
        <f t="shared" ca="1" si="304"/>
        <v>712.18513894933824</v>
      </c>
      <c r="K648" s="307">
        <f t="shared" ca="1" si="305"/>
        <v>-8.2496234040332457</v>
      </c>
      <c r="L648" s="304">
        <f t="shared" ca="1" si="290"/>
        <v>712.23291725853039</v>
      </c>
      <c r="M648" s="306">
        <f t="shared" ca="1" si="306"/>
        <v>-1.5065708462388117</v>
      </c>
      <c r="N648" s="304">
        <f t="shared" ca="1" si="307"/>
        <v>-86.320151026936799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4.0843000000000034</v>
      </c>
      <c r="T648" s="304">
        <f t="shared" ca="1" si="291"/>
        <v>40.066983000000036</v>
      </c>
      <c r="U648" s="311">
        <f t="shared" ca="1" si="292"/>
        <v>0</v>
      </c>
      <c r="V648" s="306">
        <f t="shared" ca="1" si="293"/>
        <v>1.2260109958837593</v>
      </c>
      <c r="W648" s="304">
        <f t="shared" ca="1" si="294"/>
        <v>33.415281193078229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 t="e">
        <f t="shared" ca="1" si="295"/>
        <v>#N/A</v>
      </c>
      <c r="AG648" s="306">
        <f t="shared" ca="1" si="317"/>
        <v>1.6084070378241737</v>
      </c>
      <c r="AH648" s="304">
        <f t="shared" ca="1" si="318"/>
        <v>-8.181366930793402</v>
      </c>
    </row>
    <row r="649" spans="1:34" x14ac:dyDescent="0.2">
      <c r="A649" s="347">
        <f t="shared" ca="1" si="296"/>
        <v>1E-4</v>
      </c>
      <c r="B649" s="304">
        <f t="shared" ca="1" si="297"/>
        <v>41.611500000000675</v>
      </c>
      <c r="D649" s="306">
        <f t="shared" ca="1" si="298"/>
        <v>-0.52509300879537169</v>
      </c>
      <c r="E649" s="307">
        <f t="shared" ca="1" si="299"/>
        <v>-1.6454706249183033</v>
      </c>
      <c r="F649" s="304">
        <f t="shared" ca="1" si="300"/>
        <v>1.7272221181292253</v>
      </c>
      <c r="G649" s="306">
        <f t="shared" ca="1" si="301"/>
        <v>8.7680389660663955</v>
      </c>
      <c r="H649" s="307">
        <f t="shared" ca="1" si="302"/>
        <v>-136.33285078539126</v>
      </c>
      <c r="I649" s="304">
        <f t="shared" ca="1" si="303"/>
        <v>136.6145113470096</v>
      </c>
      <c r="J649" s="306">
        <f t="shared" ca="1" si="304"/>
        <v>712.18513894933824</v>
      </c>
      <c r="K649" s="307">
        <f t="shared" ca="1" si="305"/>
        <v>-8.2632566808844317</v>
      </c>
      <c r="L649" s="304">
        <f t="shared" ca="1" si="290"/>
        <v>712.2330752999768</v>
      </c>
      <c r="M649" s="306">
        <f t="shared" ca="1" si="306"/>
        <v>-1.5065713071114493</v>
      </c>
      <c r="N649" s="304">
        <f t="shared" ca="1" si="307"/>
        <v>-86.32017743299383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4.0843000000000034</v>
      </c>
      <c r="T649" s="304">
        <f t="shared" ca="1" si="291"/>
        <v>40.066983000000036</v>
      </c>
      <c r="U649" s="311">
        <f t="shared" ca="1" si="292"/>
        <v>0</v>
      </c>
      <c r="V649" s="306">
        <f t="shared" ca="1" si="293"/>
        <v>1.2260126673399168</v>
      </c>
      <c r="W649" s="304">
        <f t="shared" ca="1" si="294"/>
        <v>33.415405429667366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 t="e">
        <f t="shared" ca="1" si="295"/>
        <v>#N/A</v>
      </c>
      <c r="AG649" s="306">
        <f t="shared" ca="1" si="317"/>
        <v>1.6083769096586646</v>
      </c>
      <c r="AH649" s="304">
        <f t="shared" ca="1" si="318"/>
        <v>-8.181397349136498</v>
      </c>
    </row>
    <row r="650" spans="1:34" x14ac:dyDescent="0.2">
      <c r="A650" s="347">
        <f t="shared" ca="1" si="296"/>
        <v>1E-4</v>
      </c>
      <c r="B650" s="304">
        <f t="shared" ca="1" si="297"/>
        <v>41.611600000000678</v>
      </c>
      <c r="D650" s="306">
        <f t="shared" ca="1" si="298"/>
        <v>-0.52509119824653105</v>
      </c>
      <c r="E650" s="307">
        <f t="shared" ca="1" si="299"/>
        <v>-1.6454400275455576</v>
      </c>
      <c r="F650" s="304">
        <f t="shared" ca="1" si="300"/>
        <v>1.7271924185582517</v>
      </c>
      <c r="G650" s="306">
        <f t="shared" ca="1" si="301"/>
        <v>8.7679864569465717</v>
      </c>
      <c r="H650" s="307">
        <f t="shared" ca="1" si="302"/>
        <v>-136.33301532939402</v>
      </c>
      <c r="I650" s="304">
        <f t="shared" ca="1" si="303"/>
        <v>136.6146721817023</v>
      </c>
      <c r="J650" s="306">
        <f t="shared" ca="1" si="304"/>
        <v>712.18513894933824</v>
      </c>
      <c r="K650" s="307">
        <f t="shared" ca="1" si="305"/>
        <v>-8.2768899741901709</v>
      </c>
      <c r="L650" s="304">
        <f t="shared" ca="1" si="290"/>
        <v>712.23323360254199</v>
      </c>
      <c r="M650" s="306">
        <f t="shared" ca="1" si="306"/>
        <v>-1.5065717679802419</v>
      </c>
      <c r="N650" s="304">
        <f t="shared" ca="1" si="307"/>
        <v>-86.320203838830565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4.0843000000000034</v>
      </c>
      <c r="T650" s="304">
        <f t="shared" ca="1" si="291"/>
        <v>40.066983000000036</v>
      </c>
      <c r="U650" s="311">
        <f t="shared" ca="1" si="292"/>
        <v>0</v>
      </c>
      <c r="V650" s="306">
        <f t="shared" ca="1" si="293"/>
        <v>1.2260143388003706</v>
      </c>
      <c r="W650" s="304">
        <f t="shared" ca="1" si="294"/>
        <v>33.415529665206954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 t="e">
        <f t="shared" ca="1" si="295"/>
        <v>#N/A</v>
      </c>
      <c r="AG650" s="306">
        <f t="shared" ca="1" si="317"/>
        <v>1.6083467817456292</v>
      </c>
      <c r="AH650" s="304">
        <f t="shared" ca="1" si="318"/>
        <v>-8.1814277672226172</v>
      </c>
    </row>
    <row r="651" spans="1:34" x14ac:dyDescent="0.2">
      <c r="A651" s="347">
        <f t="shared" ca="1" si="296"/>
        <v>1E-4</v>
      </c>
      <c r="B651" s="304">
        <f t="shared" ca="1" si="297"/>
        <v>41.611700000000681</v>
      </c>
      <c r="D651" s="306">
        <f t="shared" ca="1" si="298"/>
        <v>-0.52508938768449864</v>
      </c>
      <c r="E651" s="307">
        <f t="shared" ca="1" si="299"/>
        <v>-1.6454094304312097</v>
      </c>
      <c r="F651" s="304">
        <f t="shared" ca="1" si="300"/>
        <v>1.7271627192626755</v>
      </c>
      <c r="G651" s="306">
        <f t="shared" ca="1" si="301"/>
        <v>8.7679339480078031</v>
      </c>
      <c r="H651" s="307">
        <f t="shared" ca="1" si="302"/>
        <v>-136.33317987033706</v>
      </c>
      <c r="I651" s="304">
        <f t="shared" ca="1" si="303"/>
        <v>136.61483301338222</v>
      </c>
      <c r="J651" s="306">
        <f t="shared" ca="1" si="304"/>
        <v>712.18513894933824</v>
      </c>
      <c r="K651" s="307">
        <f t="shared" ca="1" si="305"/>
        <v>-8.2905232839501579</v>
      </c>
      <c r="L651" s="304">
        <f t="shared" ca="1" si="290"/>
        <v>712.23339216622662</v>
      </c>
      <c r="M651" s="306">
        <f t="shared" ca="1" si="306"/>
        <v>-1.5065722288451895</v>
      </c>
      <c r="N651" s="304">
        <f t="shared" ca="1" si="307"/>
        <v>-86.320230244446975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4.0843000000000034</v>
      </c>
      <c r="T651" s="304">
        <f t="shared" ca="1" si="291"/>
        <v>40.066983000000036</v>
      </c>
      <c r="U651" s="311">
        <f t="shared" ca="1" si="292"/>
        <v>0</v>
      </c>
      <c r="V651" s="306">
        <f t="shared" ca="1" si="293"/>
        <v>1.2260160102651221</v>
      </c>
      <c r="W651" s="304">
        <f t="shared" ca="1" si="294"/>
        <v>33.415653899696999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 t="e">
        <f t="shared" ca="1" si="295"/>
        <v>#N/A</v>
      </c>
      <c r="AG651" s="306">
        <f t="shared" ca="1" si="317"/>
        <v>1.6083166540850655</v>
      </c>
      <c r="AH651" s="304">
        <f t="shared" ca="1" si="318"/>
        <v>-8.1814581850517651</v>
      </c>
    </row>
    <row r="652" spans="1:34" x14ac:dyDescent="0.2">
      <c r="A652" s="347">
        <f t="shared" ca="1" si="296"/>
        <v>1E-4</v>
      </c>
      <c r="B652" s="304">
        <f t="shared" ca="1" si="297"/>
        <v>41.611800000000684</v>
      </c>
      <c r="D652" s="306">
        <f t="shared" ca="1" si="298"/>
        <v>-0.52508757710927711</v>
      </c>
      <c r="E652" s="307">
        <f t="shared" ca="1" si="299"/>
        <v>-1.6453788335752542</v>
      </c>
      <c r="F652" s="304">
        <f t="shared" ca="1" si="300"/>
        <v>1.7271330202424928</v>
      </c>
      <c r="G652" s="306">
        <f t="shared" ca="1" si="301"/>
        <v>8.7678814392500914</v>
      </c>
      <c r="H652" s="307">
        <f t="shared" ca="1" si="302"/>
        <v>-136.33334440822043</v>
      </c>
      <c r="I652" s="304">
        <f t="shared" ca="1" si="303"/>
        <v>136.61499384204939</v>
      </c>
      <c r="J652" s="306">
        <f t="shared" ca="1" si="304"/>
        <v>712.18513894933824</v>
      </c>
      <c r="K652" s="307">
        <f t="shared" ca="1" si="305"/>
        <v>-8.3041566101640854</v>
      </c>
      <c r="L652" s="304">
        <f t="shared" ca="1" si="290"/>
        <v>712.23355099103162</v>
      </c>
      <c r="M652" s="306">
        <f t="shared" ca="1" si="306"/>
        <v>-1.5065726897062919</v>
      </c>
      <c r="N652" s="304">
        <f t="shared" ca="1" si="307"/>
        <v>-86.320256649843088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4.0843000000000034</v>
      </c>
      <c r="T652" s="304">
        <f t="shared" ca="1" si="291"/>
        <v>40.066983000000036</v>
      </c>
      <c r="U652" s="311">
        <f t="shared" ca="1" si="292"/>
        <v>0</v>
      </c>
      <c r="V652" s="306">
        <f t="shared" ca="1" si="293"/>
        <v>1.2260176817341701</v>
      </c>
      <c r="W652" s="304">
        <f t="shared" ca="1" si="294"/>
        <v>33.415778133137465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 t="e">
        <f t="shared" ca="1" si="295"/>
        <v>#N/A</v>
      </c>
      <c r="AG652" s="306">
        <f t="shared" ca="1" si="317"/>
        <v>1.6082865266769719</v>
      </c>
      <c r="AH652" s="304">
        <f t="shared" ca="1" si="318"/>
        <v>-8.1814886026239435</v>
      </c>
    </row>
    <row r="653" spans="1:34" x14ac:dyDescent="0.2">
      <c r="A653" s="347">
        <f t="shared" ca="1" si="296"/>
        <v>1E-4</v>
      </c>
      <c r="B653" s="304">
        <f t="shared" ca="1" si="297"/>
        <v>41.611900000000688</v>
      </c>
      <c r="D653" s="306">
        <f t="shared" ca="1" si="298"/>
        <v>-0.52508576652086647</v>
      </c>
      <c r="E653" s="307">
        <f t="shared" ca="1" si="299"/>
        <v>-1.6453482369777017</v>
      </c>
      <c r="F653" s="304">
        <f t="shared" ca="1" si="300"/>
        <v>1.7271033214977143</v>
      </c>
      <c r="G653" s="306">
        <f t="shared" ca="1" si="301"/>
        <v>8.7678289306734385</v>
      </c>
      <c r="H653" s="307">
        <f t="shared" ca="1" si="302"/>
        <v>-136.33350894304414</v>
      </c>
      <c r="I653" s="304">
        <f t="shared" ca="1" si="303"/>
        <v>136.61515466770388</v>
      </c>
      <c r="J653" s="306">
        <f t="shared" ca="1" si="304"/>
        <v>712.18513894933824</v>
      </c>
      <c r="K653" s="307">
        <f t="shared" ca="1" si="305"/>
        <v>-8.3177899528316495</v>
      </c>
      <c r="L653" s="304">
        <f t="shared" ca="1" si="290"/>
        <v>712.23371007695755</v>
      </c>
      <c r="M653" s="306">
        <f t="shared" ca="1" si="306"/>
        <v>-1.5065731505635491</v>
      </c>
      <c r="N653" s="304">
        <f t="shared" ca="1" si="307"/>
        <v>-86.320283055018891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4.0843000000000034</v>
      </c>
      <c r="T653" s="304">
        <f t="shared" ca="1" si="291"/>
        <v>40.066983000000036</v>
      </c>
      <c r="U653" s="311">
        <f t="shared" ca="1" si="292"/>
        <v>0</v>
      </c>
      <c r="V653" s="306">
        <f t="shared" ca="1" si="293"/>
        <v>1.2260193532075152</v>
      </c>
      <c r="W653" s="304">
        <f t="shared" ca="1" si="294"/>
        <v>33.41590236552841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 t="e">
        <f t="shared" ca="1" si="295"/>
        <v>#N/A</v>
      </c>
      <c r="AG653" s="306">
        <f t="shared" ca="1" si="317"/>
        <v>1.6082563995213572</v>
      </c>
      <c r="AH653" s="304">
        <f t="shared" ca="1" si="318"/>
        <v>-8.1815190199391417</v>
      </c>
    </row>
    <row r="654" spans="1:34" x14ac:dyDescent="0.2">
      <c r="A654" s="347">
        <f t="shared" ca="1" si="296"/>
        <v>1E-4</v>
      </c>
      <c r="B654" s="304">
        <f t="shared" ca="1" si="297"/>
        <v>41.612000000000691</v>
      </c>
      <c r="D654" s="306">
        <f t="shared" ca="1" si="298"/>
        <v>-0.52508395591926849</v>
      </c>
      <c r="E654" s="307">
        <f t="shared" ca="1" si="299"/>
        <v>-1.6453176406385381</v>
      </c>
      <c r="F654" s="304">
        <f t="shared" ca="1" si="300"/>
        <v>1.7270736230283277</v>
      </c>
      <c r="G654" s="306">
        <f t="shared" ca="1" si="301"/>
        <v>8.767776422277846</v>
      </c>
      <c r="H654" s="307">
        <f t="shared" ca="1" si="302"/>
        <v>-136.33367347480819</v>
      </c>
      <c r="I654" s="304">
        <f t="shared" ca="1" si="303"/>
        <v>136.61531549034561</v>
      </c>
      <c r="J654" s="306">
        <f t="shared" ca="1" si="304"/>
        <v>712.18513894933824</v>
      </c>
      <c r="K654" s="307">
        <f t="shared" ca="1" si="305"/>
        <v>-8.3314233119525429</v>
      </c>
      <c r="L654" s="304">
        <f t="shared" ca="1" si="290"/>
        <v>712.23386942400543</v>
      </c>
      <c r="M654" s="306">
        <f t="shared" ca="1" si="306"/>
        <v>-1.5065736114169617</v>
      </c>
      <c r="N654" s="304">
        <f t="shared" ca="1" si="307"/>
        <v>-86.320309459974396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4.0843000000000034</v>
      </c>
      <c r="T654" s="304">
        <f t="shared" ca="1" si="291"/>
        <v>40.066983000000036</v>
      </c>
      <c r="U654" s="311">
        <f t="shared" ca="1" si="292"/>
        <v>0</v>
      </c>
      <c r="V654" s="306">
        <f t="shared" ca="1" si="293"/>
        <v>1.2260210246851575</v>
      </c>
      <c r="W654" s="304">
        <f t="shared" ca="1" si="294"/>
        <v>33.41602659686977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 t="e">
        <f t="shared" ca="1" si="315"/>
        <v>#N/A</v>
      </c>
      <c r="AD654" s="323" t="e">
        <f t="shared" ca="1" si="316"/>
        <v>#N/A</v>
      </c>
      <c r="AE654" s="324" t="e">
        <f t="shared" ca="1" si="295"/>
        <v>#N/A</v>
      </c>
      <c r="AG654" s="306">
        <f t="shared" ca="1" si="317"/>
        <v>1.6082262726182073</v>
      </c>
      <c r="AH654" s="304">
        <f t="shared" ca="1" si="318"/>
        <v>-8.1815494369973756</v>
      </c>
    </row>
    <row r="655" spans="1:34" x14ac:dyDescent="0.2">
      <c r="A655" s="347">
        <f t="shared" ca="1" si="296"/>
        <v>1E-4</v>
      </c>
      <c r="B655" s="304">
        <f t="shared" ca="1" si="297"/>
        <v>41.612100000000694</v>
      </c>
      <c r="D655" s="306">
        <f t="shared" ca="1" si="298"/>
        <v>-0.52508214530447928</v>
      </c>
      <c r="E655" s="307">
        <f t="shared" ca="1" si="299"/>
        <v>-1.6452870445577794</v>
      </c>
      <c r="F655" s="304">
        <f t="shared" ca="1" si="300"/>
        <v>1.7270439248343474</v>
      </c>
      <c r="G655" s="306">
        <f t="shared" ca="1" si="301"/>
        <v>8.7677239140633159</v>
      </c>
      <c r="H655" s="307">
        <f t="shared" ca="1" si="302"/>
        <v>-136.33383800351265</v>
      </c>
      <c r="I655" s="304">
        <f t="shared" ca="1" si="303"/>
        <v>136.61547630997475</v>
      </c>
      <c r="J655" s="306">
        <f t="shared" ca="1" si="304"/>
        <v>712.18513894933824</v>
      </c>
      <c r="K655" s="307">
        <f t="shared" ca="1" si="305"/>
        <v>-8.3450566875264585</v>
      </c>
      <c r="L655" s="304">
        <f t="shared" ca="1" si="290"/>
        <v>712.23402903217584</v>
      </c>
      <c r="M655" s="306">
        <f t="shared" ca="1" si="306"/>
        <v>-1.5065740722665291</v>
      </c>
      <c r="N655" s="304">
        <f t="shared" ca="1" si="307"/>
        <v>-86.320335864709605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4.0843000000000034</v>
      </c>
      <c r="T655" s="304">
        <f t="shared" ca="1" si="291"/>
        <v>40.066983000000036</v>
      </c>
      <c r="U655" s="311">
        <f t="shared" ca="1" si="292"/>
        <v>0</v>
      </c>
      <c r="V655" s="306">
        <f t="shared" ca="1" si="293"/>
        <v>1.2260226961670964</v>
      </c>
      <c r="W655" s="304">
        <f t="shared" ca="1" si="294"/>
        <v>33.416150827161623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 t="e">
        <f t="shared" ca="1" si="295"/>
        <v>#N/A</v>
      </c>
      <c r="AG655" s="306">
        <f t="shared" ca="1" si="317"/>
        <v>1.6081961459675362</v>
      </c>
      <c r="AH655" s="304">
        <f t="shared" ca="1" si="318"/>
        <v>-8.1815798537986293</v>
      </c>
    </row>
    <row r="656" spans="1:34" x14ac:dyDescent="0.2">
      <c r="A656" s="347">
        <f t="shared" ca="1" si="296"/>
        <v>1E-4</v>
      </c>
      <c r="B656" s="304">
        <f t="shared" ca="1" si="297"/>
        <v>41.612200000000698</v>
      </c>
      <c r="D656" s="306">
        <f t="shared" ca="1" si="298"/>
        <v>-0.52508033467650417</v>
      </c>
      <c r="E656" s="307">
        <f t="shared" ca="1" si="299"/>
        <v>-1.6452564487354042</v>
      </c>
      <c r="F656" s="304">
        <f t="shared" ca="1" si="300"/>
        <v>1.7270142269157551</v>
      </c>
      <c r="G656" s="306">
        <f t="shared" ca="1" si="301"/>
        <v>8.767671406029848</v>
      </c>
      <c r="H656" s="307">
        <f t="shared" ca="1" si="302"/>
        <v>-136.33400252915752</v>
      </c>
      <c r="I656" s="304">
        <f t="shared" ca="1" si="303"/>
        <v>136.6156371265912</v>
      </c>
      <c r="J656" s="306">
        <f t="shared" ca="1" si="304"/>
        <v>712.18513894933824</v>
      </c>
      <c r="K656" s="307">
        <f t="shared" ca="1" si="305"/>
        <v>-8.3586900795530923</v>
      </c>
      <c r="L656" s="304">
        <f t="shared" ca="1" si="290"/>
        <v>712.23418890146957</v>
      </c>
      <c r="M656" s="306">
        <f t="shared" ca="1" si="306"/>
        <v>-1.5065745331122515</v>
      </c>
      <c r="N656" s="304">
        <f t="shared" ca="1" si="307"/>
        <v>-86.320362269224503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4.0843000000000034</v>
      </c>
      <c r="T656" s="304">
        <f t="shared" ca="1" si="291"/>
        <v>40.066983000000036</v>
      </c>
      <c r="U656" s="311">
        <f t="shared" ca="1" si="292"/>
        <v>0</v>
      </c>
      <c r="V656" s="306">
        <f t="shared" ca="1" si="293"/>
        <v>1.2260243676533322</v>
      </c>
      <c r="W656" s="304">
        <f t="shared" ca="1" si="294"/>
        <v>33.416275056403897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 t="e">
        <f t="shared" ca="1" si="295"/>
        <v>#N/A</v>
      </c>
      <c r="AG656" s="306">
        <f t="shared" ca="1" si="317"/>
        <v>1.6081660195693264</v>
      </c>
      <c r="AH656" s="304">
        <f t="shared" ca="1" si="318"/>
        <v>-8.1816102703429223</v>
      </c>
    </row>
    <row r="657" spans="1:34" x14ac:dyDescent="0.2">
      <c r="A657" s="347">
        <f t="shared" ca="1" si="296"/>
        <v>1E-4</v>
      </c>
      <c r="B657" s="304">
        <f t="shared" ca="1" si="297"/>
        <v>41.612300000000701</v>
      </c>
      <c r="D657" s="306">
        <f t="shared" ca="1" si="298"/>
        <v>-0.52507852403534117</v>
      </c>
      <c r="E657" s="307">
        <f t="shared" ca="1" si="299"/>
        <v>-1.6452258531714339</v>
      </c>
      <c r="F657" s="304">
        <f t="shared" ca="1" si="300"/>
        <v>1.7269845292725714</v>
      </c>
      <c r="G657" s="306">
        <f t="shared" ca="1" si="301"/>
        <v>8.7676188981774441</v>
      </c>
      <c r="H657" s="307">
        <f t="shared" ca="1" si="302"/>
        <v>-136.33416705174284</v>
      </c>
      <c r="I657" s="304">
        <f t="shared" ca="1" si="303"/>
        <v>136.61579794019505</v>
      </c>
      <c r="J657" s="306">
        <f t="shared" ca="1" si="304"/>
        <v>712.18513894933824</v>
      </c>
      <c r="K657" s="307">
        <f t="shared" ca="1" si="305"/>
        <v>-8.3723234880321371</v>
      </c>
      <c r="L657" s="304">
        <f t="shared" ca="1" si="290"/>
        <v>712.2343490318874</v>
      </c>
      <c r="M657" s="306">
        <f t="shared" ca="1" si="306"/>
        <v>-1.5065749939541291</v>
      </c>
      <c r="N657" s="304">
        <f t="shared" ca="1" si="307"/>
        <v>-86.320388673519119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4.0843000000000034</v>
      </c>
      <c r="T657" s="304">
        <f t="shared" ca="1" si="291"/>
        <v>40.066983000000036</v>
      </c>
      <c r="U657" s="311">
        <f t="shared" ca="1" si="292"/>
        <v>0</v>
      </c>
      <c r="V657" s="306">
        <f t="shared" ca="1" si="293"/>
        <v>1.2260260391438651</v>
      </c>
      <c r="W657" s="304">
        <f t="shared" ca="1" si="294"/>
        <v>33.41639928459665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 t="e">
        <f t="shared" ca="1" si="295"/>
        <v>#N/A</v>
      </c>
      <c r="AG657" s="306">
        <f t="shared" ca="1" si="317"/>
        <v>1.608135893423599</v>
      </c>
      <c r="AH657" s="304">
        <f t="shared" ca="1" si="318"/>
        <v>-8.1816406866302351</v>
      </c>
    </row>
    <row r="658" spans="1:34" x14ac:dyDescent="0.2">
      <c r="A658" s="347">
        <f t="shared" ca="1" si="296"/>
        <v>1E-4</v>
      </c>
      <c r="B658" s="304">
        <f t="shared" ca="1" si="297"/>
        <v>41.612400000000704</v>
      </c>
      <c r="D658" s="306">
        <f t="shared" ca="1" si="298"/>
        <v>-0.52507671338099182</v>
      </c>
      <c r="E658" s="307">
        <f t="shared" ca="1" si="299"/>
        <v>-1.6451952578658524</v>
      </c>
      <c r="F658" s="304">
        <f t="shared" ca="1" si="300"/>
        <v>1.7269548319047816</v>
      </c>
      <c r="G658" s="306">
        <f t="shared" ca="1" si="301"/>
        <v>8.7675663905061061</v>
      </c>
      <c r="H658" s="307">
        <f t="shared" ca="1" si="302"/>
        <v>-136.33433157126862</v>
      </c>
      <c r="I658" s="304">
        <f t="shared" ca="1" si="303"/>
        <v>136.61595875078632</v>
      </c>
      <c r="J658" s="306">
        <f t="shared" ca="1" si="304"/>
        <v>712.18513894933824</v>
      </c>
      <c r="K658" s="307">
        <f t="shared" ca="1" si="305"/>
        <v>-8.3859569129632874</v>
      </c>
      <c r="L658" s="304">
        <f t="shared" ca="1" si="290"/>
        <v>712.23450942343015</v>
      </c>
      <c r="M658" s="306">
        <f t="shared" ca="1" si="306"/>
        <v>-1.5065754547921619</v>
      </c>
      <c r="N658" s="304">
        <f t="shared" ca="1" si="307"/>
        <v>-86.320415077593438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4.0843000000000034</v>
      </c>
      <c r="T658" s="304">
        <f t="shared" ca="1" si="291"/>
        <v>40.066983000000036</v>
      </c>
      <c r="U658" s="311">
        <f t="shared" ca="1" si="292"/>
        <v>0</v>
      </c>
      <c r="V658" s="306">
        <f t="shared" ca="1" si="293"/>
        <v>1.226027710638695</v>
      </c>
      <c r="W658" s="304">
        <f t="shared" ca="1" si="294"/>
        <v>33.416523511739854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 t="e">
        <f t="shared" ca="1" si="295"/>
        <v>#N/A</v>
      </c>
      <c r="AG658" s="306">
        <f t="shared" ca="1" si="317"/>
        <v>1.6081057675303327</v>
      </c>
      <c r="AH658" s="304">
        <f t="shared" ca="1" si="318"/>
        <v>-8.1816711026605837</v>
      </c>
    </row>
    <row r="659" spans="1:34" x14ac:dyDescent="0.2">
      <c r="A659" s="347">
        <f t="shared" ca="1" si="296"/>
        <v>1E-4</v>
      </c>
      <c r="B659" s="304">
        <f t="shared" ca="1" si="297"/>
        <v>41.612500000000708</v>
      </c>
      <c r="D659" s="306">
        <f t="shared" ca="1" si="298"/>
        <v>-0.52507490271345447</v>
      </c>
      <c r="E659" s="307">
        <f t="shared" ca="1" si="299"/>
        <v>-1.6451646628186669</v>
      </c>
      <c r="F659" s="304">
        <f t="shared" ca="1" si="300"/>
        <v>1.7269251348123931</v>
      </c>
      <c r="G659" s="306">
        <f t="shared" ca="1" si="301"/>
        <v>8.7675138830158339</v>
      </c>
      <c r="H659" s="307">
        <f t="shared" ca="1" si="302"/>
        <v>-136.33449608773489</v>
      </c>
      <c r="I659" s="304">
        <f t="shared" ca="1" si="303"/>
        <v>136.616119558365</v>
      </c>
      <c r="J659" s="306">
        <f t="shared" ca="1" si="304"/>
        <v>712.18513894933824</v>
      </c>
      <c r="K659" s="307">
        <f t="shared" ca="1" si="305"/>
        <v>-8.3995903543462376</v>
      </c>
      <c r="L659" s="304">
        <f t="shared" ca="1" si="290"/>
        <v>712.23467007609861</v>
      </c>
      <c r="M659" s="306">
        <f t="shared" ca="1" si="306"/>
        <v>-1.5065759156263501</v>
      </c>
      <c r="N659" s="304">
        <f t="shared" ca="1" si="307"/>
        <v>-86.320441481447475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4.0843000000000034</v>
      </c>
      <c r="T659" s="304">
        <f t="shared" ca="1" si="291"/>
        <v>40.066983000000036</v>
      </c>
      <c r="U659" s="311">
        <f t="shared" ca="1" si="292"/>
        <v>0</v>
      </c>
      <c r="V659" s="306">
        <f t="shared" ca="1" si="293"/>
        <v>1.2260293821378214</v>
      </c>
      <c r="W659" s="304">
        <f t="shared" ca="1" si="294"/>
        <v>33.416647737833514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 t="e">
        <f t="shared" ca="1" si="295"/>
        <v>#N/A</v>
      </c>
      <c r="AG659" s="306">
        <f t="shared" ca="1" si="317"/>
        <v>1.6080756418895401</v>
      </c>
      <c r="AH659" s="304">
        <f t="shared" ca="1" si="318"/>
        <v>-8.181701518433961</v>
      </c>
    </row>
    <row r="660" spans="1:34" x14ac:dyDescent="0.2">
      <c r="A660" s="347">
        <f t="shared" ca="1" si="296"/>
        <v>1E-4</v>
      </c>
      <c r="B660" s="304">
        <f t="shared" ca="1" si="297"/>
        <v>41.612600000000711</v>
      </c>
      <c r="D660" s="306">
        <f t="shared" ca="1" si="298"/>
        <v>-0.52507309203273</v>
      </c>
      <c r="E660" s="307">
        <f t="shared" ca="1" si="299"/>
        <v>-1.6451340680298738</v>
      </c>
      <c r="F660" s="304">
        <f t="shared" ca="1" si="300"/>
        <v>1.7268954379954025</v>
      </c>
      <c r="G660" s="306">
        <f t="shared" ca="1" si="301"/>
        <v>8.7674613757066311</v>
      </c>
      <c r="H660" s="307">
        <f t="shared" ca="1" si="302"/>
        <v>-136.33466060114171</v>
      </c>
      <c r="I660" s="304">
        <f t="shared" ca="1" si="303"/>
        <v>136.61628036293115</v>
      </c>
      <c r="J660" s="306">
        <f t="shared" ca="1" si="304"/>
        <v>712.18513894933824</v>
      </c>
      <c r="K660" s="307">
        <f t="shared" ca="1" si="305"/>
        <v>-8.4132238121806822</v>
      </c>
      <c r="L660" s="304">
        <f t="shared" ca="1" si="290"/>
        <v>712.23483098989345</v>
      </c>
      <c r="M660" s="306">
        <f t="shared" ca="1" si="306"/>
        <v>-1.5065763764566935</v>
      </c>
      <c r="N660" s="304">
        <f t="shared" ca="1" si="307"/>
        <v>-86.320467885081214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4.0843000000000034</v>
      </c>
      <c r="T660" s="304">
        <f t="shared" ca="1" si="291"/>
        <v>40.066983000000036</v>
      </c>
      <c r="U660" s="311">
        <f t="shared" ca="1" si="292"/>
        <v>0</v>
      </c>
      <c r="V660" s="306">
        <f t="shared" ca="1" si="293"/>
        <v>1.2260310536412447</v>
      </c>
      <c r="W660" s="304">
        <f t="shared" ca="1" si="294"/>
        <v>33.416771962877633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 t="e">
        <f t="shared" ca="1" si="295"/>
        <v>#N/A</v>
      </c>
      <c r="AG660" s="306">
        <f t="shared" ca="1" si="317"/>
        <v>1.6080455165012193</v>
      </c>
      <c r="AH660" s="304">
        <f t="shared" ca="1" si="318"/>
        <v>-8.1817319339503669</v>
      </c>
    </row>
    <row r="661" spans="1:34" x14ac:dyDescent="0.2">
      <c r="A661" s="347">
        <f t="shared" ca="1" si="296"/>
        <v>1E-4</v>
      </c>
      <c r="B661" s="304">
        <f t="shared" ca="1" si="297"/>
        <v>41.612700000000714</v>
      </c>
      <c r="D661" s="306">
        <f t="shared" ca="1" si="298"/>
        <v>-0.5250712813388192</v>
      </c>
      <c r="E661" s="307">
        <f t="shared" ca="1" si="299"/>
        <v>-1.6451034734994732</v>
      </c>
      <c r="F661" s="304">
        <f t="shared" ca="1" si="300"/>
        <v>1.7268657414538111</v>
      </c>
      <c r="G661" s="306">
        <f t="shared" ca="1" si="301"/>
        <v>8.7674088685784977</v>
      </c>
      <c r="H661" s="307">
        <f t="shared" ca="1" si="302"/>
        <v>-136.33482511148907</v>
      </c>
      <c r="I661" s="304">
        <f t="shared" ca="1" si="303"/>
        <v>136.6164411644848</v>
      </c>
      <c r="J661" s="306">
        <f t="shared" ca="1" si="304"/>
        <v>712.18513894933824</v>
      </c>
      <c r="K661" s="307">
        <f t="shared" ca="1" si="305"/>
        <v>-8.4268572864663138</v>
      </c>
      <c r="L661" s="304">
        <f t="shared" ca="1" si="290"/>
        <v>712.23499216481548</v>
      </c>
      <c r="M661" s="306">
        <f t="shared" ca="1" si="306"/>
        <v>-1.506576837283192</v>
      </c>
      <c r="N661" s="304">
        <f t="shared" ca="1" si="307"/>
        <v>-86.320494288494672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4.0843000000000034</v>
      </c>
      <c r="T661" s="304">
        <f t="shared" ca="1" si="291"/>
        <v>40.066983000000036</v>
      </c>
      <c r="U661" s="311">
        <f t="shared" ca="1" si="292"/>
        <v>0</v>
      </c>
      <c r="V661" s="306">
        <f t="shared" ca="1" si="293"/>
        <v>1.2260327251489647</v>
      </c>
      <c r="W661" s="304">
        <f t="shared" ca="1" si="294"/>
        <v>33.416896186872222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 t="e">
        <f t="shared" ca="1" si="295"/>
        <v>#N/A</v>
      </c>
      <c r="AG661" s="306">
        <f t="shared" ca="1" si="317"/>
        <v>1.6080153913653668</v>
      </c>
      <c r="AH661" s="304">
        <f t="shared" ca="1" si="318"/>
        <v>-8.1817623492098051</v>
      </c>
    </row>
    <row r="662" spans="1:34" x14ac:dyDescent="0.2">
      <c r="A662" s="347">
        <f t="shared" ca="1" si="296"/>
        <v>1E-4</v>
      </c>
      <c r="B662" s="304">
        <f t="shared" ca="1" si="297"/>
        <v>41.612800000000718</v>
      </c>
      <c r="D662" s="306">
        <f t="shared" ca="1" si="298"/>
        <v>-0.52506947063172471</v>
      </c>
      <c r="E662" s="307">
        <f t="shared" ca="1" si="299"/>
        <v>-1.6450728792274667</v>
      </c>
      <c r="F662" s="304">
        <f t="shared" ca="1" si="300"/>
        <v>1.7268360451876219</v>
      </c>
      <c r="G662" s="306">
        <f t="shared" ca="1" si="301"/>
        <v>8.7673563616314336</v>
      </c>
      <c r="H662" s="307">
        <f t="shared" ca="1" si="302"/>
        <v>-136.334989618777</v>
      </c>
      <c r="I662" s="304">
        <f t="shared" ca="1" si="303"/>
        <v>136.61660196302597</v>
      </c>
      <c r="J662" s="306">
        <f t="shared" ca="1" si="304"/>
        <v>712.18513894933824</v>
      </c>
      <c r="K662" s="307">
        <f t="shared" ca="1" si="305"/>
        <v>-8.440490777202827</v>
      </c>
      <c r="L662" s="304">
        <f t="shared" ca="1" si="290"/>
        <v>712.23515360086537</v>
      </c>
      <c r="M662" s="306">
        <f t="shared" ca="1" si="306"/>
        <v>-1.5065772981058463</v>
      </c>
      <c r="N662" s="304">
        <f t="shared" ca="1" si="307"/>
        <v>-86.320520691687861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4.0843000000000034</v>
      </c>
      <c r="T662" s="304">
        <f t="shared" ca="1" si="291"/>
        <v>40.066983000000036</v>
      </c>
      <c r="U662" s="311">
        <f t="shared" ca="1" si="292"/>
        <v>0</v>
      </c>
      <c r="V662" s="306">
        <f t="shared" ca="1" si="293"/>
        <v>1.2260343966609815</v>
      </c>
      <c r="W662" s="304">
        <f t="shared" ca="1" si="294"/>
        <v>33.417020409817283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 t="e">
        <f t="shared" ca="1" si="295"/>
        <v>#N/A</v>
      </c>
      <c r="AG662" s="306">
        <f t="shared" ca="1" si="317"/>
        <v>1.6079852664819807</v>
      </c>
      <c r="AH662" s="304">
        <f t="shared" ca="1" si="318"/>
        <v>-8.1817927642122754</v>
      </c>
    </row>
    <row r="663" spans="1:34" x14ac:dyDescent="0.2">
      <c r="A663" s="347">
        <f t="shared" ca="1" si="296"/>
        <v>1E-4</v>
      </c>
      <c r="B663" s="304">
        <f t="shared" ca="1" si="297"/>
        <v>41.612900000000721</v>
      </c>
      <c r="D663" s="306">
        <f t="shared" ca="1" si="298"/>
        <v>-0.52506765991144166</v>
      </c>
      <c r="E663" s="307">
        <f t="shared" ca="1" si="299"/>
        <v>-1.6450422852138491</v>
      </c>
      <c r="F663" s="304">
        <f t="shared" ca="1" si="300"/>
        <v>1.7268063491968286</v>
      </c>
      <c r="G663" s="306">
        <f t="shared" ca="1" si="301"/>
        <v>8.7673038548654425</v>
      </c>
      <c r="H663" s="307">
        <f t="shared" ca="1" si="302"/>
        <v>-136.33515412300551</v>
      </c>
      <c r="I663" s="304">
        <f t="shared" ca="1" si="303"/>
        <v>136.61676275855464</v>
      </c>
      <c r="J663" s="306">
        <f t="shared" ca="1" si="304"/>
        <v>712.18513894933824</v>
      </c>
      <c r="K663" s="307">
        <f t="shared" ca="1" si="305"/>
        <v>-8.4541242843899163</v>
      </c>
      <c r="L663" s="304">
        <f t="shared" ca="1" si="290"/>
        <v>712.23531529804404</v>
      </c>
      <c r="M663" s="306">
        <f t="shared" ca="1" si="306"/>
        <v>-1.5065777589246556</v>
      </c>
      <c r="N663" s="304">
        <f t="shared" ca="1" si="307"/>
        <v>-86.320547094660768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4.0843000000000034</v>
      </c>
      <c r="T663" s="304">
        <f t="shared" ca="1" si="291"/>
        <v>40.066983000000036</v>
      </c>
      <c r="U663" s="311">
        <f t="shared" ca="1" si="292"/>
        <v>0</v>
      </c>
      <c r="V663" s="306">
        <f t="shared" ca="1" si="293"/>
        <v>1.226036068177295</v>
      </c>
      <c r="W663" s="304">
        <f t="shared" ca="1" si="294"/>
        <v>33.417144631712794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 t="e">
        <f t="shared" ca="1" si="295"/>
        <v>#N/A</v>
      </c>
      <c r="AG663" s="306">
        <f t="shared" ca="1" si="317"/>
        <v>1.6079551418510647</v>
      </c>
      <c r="AH663" s="304">
        <f t="shared" ca="1" si="318"/>
        <v>-8.181823178957778</v>
      </c>
    </row>
    <row r="664" spans="1:34" x14ac:dyDescent="0.2">
      <c r="A664" s="347">
        <f t="shared" ca="1" si="296"/>
        <v>1E-4</v>
      </c>
      <c r="B664" s="304">
        <f t="shared" ca="1" si="297"/>
        <v>41.613000000000724</v>
      </c>
      <c r="D664" s="306">
        <f t="shared" ca="1" si="298"/>
        <v>-0.52506584917797638</v>
      </c>
      <c r="E664" s="307">
        <f t="shared" ca="1" si="299"/>
        <v>-1.6450116914586275</v>
      </c>
      <c r="F664" s="304">
        <f t="shared" ca="1" si="300"/>
        <v>1.7267766534814408</v>
      </c>
      <c r="G664" s="306">
        <f t="shared" ca="1" si="301"/>
        <v>8.7672513482805243</v>
      </c>
      <c r="H664" s="307">
        <f t="shared" ca="1" si="302"/>
        <v>-136.33531862417465</v>
      </c>
      <c r="I664" s="304">
        <f t="shared" ca="1" si="303"/>
        <v>136.6169235510709</v>
      </c>
      <c r="J664" s="306">
        <f t="shared" ca="1" si="304"/>
        <v>712.18513894933824</v>
      </c>
      <c r="K664" s="307">
        <f t="shared" ca="1" si="305"/>
        <v>-8.467757808027276</v>
      </c>
      <c r="L664" s="304">
        <f t="shared" ca="1" si="290"/>
        <v>712.23547725635206</v>
      </c>
      <c r="M664" s="306">
        <f t="shared" ca="1" si="306"/>
        <v>-1.5065782197396207</v>
      </c>
      <c r="N664" s="304">
        <f t="shared" ca="1" si="307"/>
        <v>-86.320573497413392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4.0843000000000034</v>
      </c>
      <c r="T664" s="304">
        <f t="shared" ca="1" si="291"/>
        <v>40.066983000000036</v>
      </c>
      <c r="U664" s="311">
        <f t="shared" ca="1" si="292"/>
        <v>0</v>
      </c>
      <c r="V664" s="306">
        <f t="shared" ca="1" si="293"/>
        <v>1.2260377396979047</v>
      </c>
      <c r="W664" s="304">
        <f t="shared" ca="1" si="294"/>
        <v>33.41726885255877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 t="e">
        <f t="shared" ca="1" si="315"/>
        <v>#N/A</v>
      </c>
      <c r="AD664" s="323" t="e">
        <f t="shared" ca="1" si="316"/>
        <v>#N/A</v>
      </c>
      <c r="AE664" s="324" t="e">
        <f t="shared" ca="1" si="295"/>
        <v>#N/A</v>
      </c>
      <c r="AG664" s="306">
        <f t="shared" ca="1" si="317"/>
        <v>1.6079250174726205</v>
      </c>
      <c r="AH664" s="304">
        <f t="shared" ca="1" si="318"/>
        <v>-8.181853593446311</v>
      </c>
    </row>
    <row r="665" spans="1:34" x14ac:dyDescent="0.2">
      <c r="A665" s="347">
        <f t="shared" ca="1" si="296"/>
        <v>1E-4</v>
      </c>
      <c r="B665" s="304">
        <f t="shared" ca="1" si="297"/>
        <v>41.613100000000728</v>
      </c>
      <c r="D665" s="306">
        <f t="shared" ca="1" si="298"/>
        <v>-0.52506403843132377</v>
      </c>
      <c r="E665" s="307">
        <f t="shared" ca="1" si="299"/>
        <v>-1.6449810979617965</v>
      </c>
      <c r="F665" s="304">
        <f t="shared" ca="1" si="300"/>
        <v>1.7267469580414521</v>
      </c>
      <c r="G665" s="306">
        <f t="shared" ca="1" si="301"/>
        <v>8.7671988418766809</v>
      </c>
      <c r="H665" s="307">
        <f t="shared" ca="1" si="302"/>
        <v>-136.33548312228444</v>
      </c>
      <c r="I665" s="304">
        <f t="shared" ca="1" si="303"/>
        <v>136.61708434057473</v>
      </c>
      <c r="J665" s="306">
        <f t="shared" ca="1" si="304"/>
        <v>712.18513894933824</v>
      </c>
      <c r="K665" s="307">
        <f t="shared" ca="1" si="305"/>
        <v>-8.4813913481145988</v>
      </c>
      <c r="L665" s="304">
        <f t="shared" ca="1" si="290"/>
        <v>712.23563947579044</v>
      </c>
      <c r="M665" s="306">
        <f t="shared" ca="1" si="306"/>
        <v>-1.5065786805507413</v>
      </c>
      <c r="N665" s="304">
        <f t="shared" ca="1" si="307"/>
        <v>-86.320599899945762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4.0843000000000034</v>
      </c>
      <c r="T665" s="304">
        <f t="shared" ca="1" si="291"/>
        <v>40.066983000000036</v>
      </c>
      <c r="U665" s="311">
        <f t="shared" ca="1" si="292"/>
        <v>0</v>
      </c>
      <c r="V665" s="306">
        <f t="shared" ca="1" si="293"/>
        <v>1.2260394112228119</v>
      </c>
      <c r="W665" s="304">
        <f t="shared" ca="1" si="294"/>
        <v>33.417393072355232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 t="e">
        <f t="shared" ca="1" si="295"/>
        <v>#N/A</v>
      </c>
      <c r="AG665" s="306">
        <f t="shared" ca="1" si="317"/>
        <v>1.6078948933466428</v>
      </c>
      <c r="AH665" s="304">
        <f t="shared" ca="1" si="318"/>
        <v>-8.1818840076778745</v>
      </c>
    </row>
    <row r="666" spans="1:34" x14ac:dyDescent="0.2">
      <c r="A666" s="347">
        <f t="shared" ca="1" si="296"/>
        <v>1E-4</v>
      </c>
      <c r="B666" s="304">
        <f t="shared" ca="1" si="297"/>
        <v>41.613200000000731</v>
      </c>
      <c r="D666" s="306">
        <f t="shared" ca="1" si="298"/>
        <v>-0.52506222767148691</v>
      </c>
      <c r="E666" s="307">
        <f t="shared" ca="1" si="299"/>
        <v>-1.6449505047233544</v>
      </c>
      <c r="F666" s="304">
        <f t="shared" ca="1" si="300"/>
        <v>1.7267172628768621</v>
      </c>
      <c r="G666" s="306">
        <f t="shared" ca="1" si="301"/>
        <v>8.7671463356539139</v>
      </c>
      <c r="H666" s="307">
        <f t="shared" ca="1" si="302"/>
        <v>-136.33564761733493</v>
      </c>
      <c r="I666" s="304">
        <f t="shared" ca="1" si="303"/>
        <v>136.61724512706618</v>
      </c>
      <c r="J666" s="306">
        <f t="shared" ca="1" si="304"/>
        <v>712.18513894933824</v>
      </c>
      <c r="K666" s="307">
        <f t="shared" ca="1" si="305"/>
        <v>-8.4950249046515793</v>
      </c>
      <c r="L666" s="304">
        <f t="shared" ca="1" si="290"/>
        <v>712.23580195635975</v>
      </c>
      <c r="M666" s="306">
        <f t="shared" ca="1" si="306"/>
        <v>-1.5065791413580172</v>
      </c>
      <c r="N666" s="304">
        <f t="shared" ca="1" si="307"/>
        <v>-86.320626302257836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4.0843000000000034</v>
      </c>
      <c r="T666" s="304">
        <f t="shared" ca="1" si="291"/>
        <v>40.066983000000036</v>
      </c>
      <c r="U666" s="311">
        <f t="shared" ca="1" si="292"/>
        <v>0</v>
      </c>
      <c r="V666" s="306">
        <f t="shared" ca="1" si="293"/>
        <v>1.2260410827520154</v>
      </c>
      <c r="W666" s="304">
        <f t="shared" ca="1" si="294"/>
        <v>33.417517291102158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 t="e">
        <f t="shared" ca="1" si="295"/>
        <v>#N/A</v>
      </c>
      <c r="AG666" s="306">
        <f t="shared" ca="1" si="317"/>
        <v>1.6078647694731316</v>
      </c>
      <c r="AH666" s="304">
        <f t="shared" ca="1" si="318"/>
        <v>-8.1819144216524755</v>
      </c>
    </row>
    <row r="667" spans="1:34" x14ac:dyDescent="0.2">
      <c r="A667" s="347">
        <f t="shared" ca="1" si="296"/>
        <v>1E-4</v>
      </c>
      <c r="B667" s="304">
        <f t="shared" ca="1" si="297"/>
        <v>41.613300000000734</v>
      </c>
      <c r="D667" s="306">
        <f t="shared" ca="1" si="298"/>
        <v>-0.52506041689846805</v>
      </c>
      <c r="E667" s="307">
        <f t="shared" ca="1" si="299"/>
        <v>-1.6449199117433047</v>
      </c>
      <c r="F667" s="304">
        <f t="shared" ca="1" si="300"/>
        <v>1.7266875679876756</v>
      </c>
      <c r="G667" s="306">
        <f t="shared" ca="1" si="301"/>
        <v>8.7670938296122234</v>
      </c>
      <c r="H667" s="307">
        <f t="shared" ca="1" si="302"/>
        <v>-136.3358121093261</v>
      </c>
      <c r="I667" s="304">
        <f t="shared" ca="1" si="303"/>
        <v>136.61740591054527</v>
      </c>
      <c r="J667" s="306">
        <f t="shared" ca="1" si="304"/>
        <v>712.18513894933824</v>
      </c>
      <c r="K667" s="307">
        <f t="shared" ca="1" si="305"/>
        <v>-8.5086584776379119</v>
      </c>
      <c r="L667" s="304">
        <f t="shared" ca="1" si="290"/>
        <v>712.2359646980608</v>
      </c>
      <c r="M667" s="306">
        <f t="shared" ca="1" si="306"/>
        <v>-1.506579602161449</v>
      </c>
      <c r="N667" s="304">
        <f t="shared" ca="1" si="307"/>
        <v>-86.320652704349669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4.0843000000000034</v>
      </c>
      <c r="T667" s="304">
        <f t="shared" ca="1" si="291"/>
        <v>40.066983000000036</v>
      </c>
      <c r="U667" s="311">
        <f t="shared" ca="1" si="292"/>
        <v>0</v>
      </c>
      <c r="V667" s="306">
        <f t="shared" ca="1" si="293"/>
        <v>1.226042754285515</v>
      </c>
      <c r="W667" s="304">
        <f t="shared" ca="1" si="294"/>
        <v>33.417641508799541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 t="e">
        <f t="shared" ca="1" si="295"/>
        <v>#N/A</v>
      </c>
      <c r="AG667" s="306">
        <f t="shared" ca="1" si="317"/>
        <v>1.6078346458520887</v>
      </c>
      <c r="AH667" s="304">
        <f t="shared" ca="1" si="318"/>
        <v>-8.181944835370107</v>
      </c>
    </row>
    <row r="668" spans="1:34" x14ac:dyDescent="0.2">
      <c r="A668" s="347">
        <f t="shared" ca="1" si="296"/>
        <v>1E-4</v>
      </c>
      <c r="B668" s="304">
        <f t="shared" ca="1" si="297"/>
        <v>41.613400000000738</v>
      </c>
      <c r="D668" s="306">
        <f t="shared" ca="1" si="298"/>
        <v>-0.52505860611226229</v>
      </c>
      <c r="E668" s="307">
        <f t="shared" ca="1" si="299"/>
        <v>-1.6448893190216474</v>
      </c>
      <c r="F668" s="304">
        <f t="shared" ca="1" si="300"/>
        <v>1.726657873373892</v>
      </c>
      <c r="G668" s="306">
        <f t="shared" ca="1" si="301"/>
        <v>8.7670413237516129</v>
      </c>
      <c r="H668" s="307">
        <f t="shared" ca="1" si="302"/>
        <v>-136.33597659825801</v>
      </c>
      <c r="I668" s="304">
        <f t="shared" ca="1" si="303"/>
        <v>136.61756669101206</v>
      </c>
      <c r="J668" s="306">
        <f t="shared" ca="1" si="304"/>
        <v>712.18513894933824</v>
      </c>
      <c r="K668" s="307">
        <f t="shared" ca="1" si="305"/>
        <v>-8.5222920670732911</v>
      </c>
      <c r="L668" s="304">
        <f t="shared" ca="1" si="290"/>
        <v>712.23612770089437</v>
      </c>
      <c r="M668" s="306">
        <f t="shared" ca="1" si="306"/>
        <v>-1.5065800629610362</v>
      </c>
      <c r="N668" s="304">
        <f t="shared" ca="1" si="307"/>
        <v>-86.32067910622122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4.0843000000000034</v>
      </c>
      <c r="T668" s="304">
        <f t="shared" ca="1" si="291"/>
        <v>40.066983000000036</v>
      </c>
      <c r="U668" s="311">
        <f t="shared" ca="1" si="292"/>
        <v>0</v>
      </c>
      <c r="V668" s="306">
        <f t="shared" ca="1" si="293"/>
        <v>1.2260444258233121</v>
      </c>
      <c r="W668" s="304">
        <f t="shared" ca="1" si="294"/>
        <v>33.417765725447438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 t="e">
        <f t="shared" ca="1" si="295"/>
        <v>#N/A</v>
      </c>
      <c r="AG668" s="306">
        <f t="shared" ca="1" si="317"/>
        <v>1.6078045224835158</v>
      </c>
      <c r="AH668" s="304">
        <f t="shared" ca="1" si="318"/>
        <v>-8.1819752488307707</v>
      </c>
    </row>
    <row r="669" spans="1:34" x14ac:dyDescent="0.2">
      <c r="A669" s="347">
        <f t="shared" ca="1" si="296"/>
        <v>1E-4</v>
      </c>
      <c r="B669" s="304">
        <f t="shared" ca="1" si="297"/>
        <v>41.613500000000741</v>
      </c>
      <c r="D669" s="306">
        <f t="shared" ca="1" si="298"/>
        <v>-0.52505679531287663</v>
      </c>
      <c r="E669" s="307">
        <f t="shared" ca="1" si="299"/>
        <v>-1.6448587265583718</v>
      </c>
      <c r="F669" s="304">
        <f t="shared" ca="1" si="300"/>
        <v>1.7266281790355029</v>
      </c>
      <c r="G669" s="306">
        <f t="shared" ca="1" si="301"/>
        <v>8.7669888180720825</v>
      </c>
      <c r="H669" s="307">
        <f t="shared" ca="1" si="302"/>
        <v>-136.33614108413067</v>
      </c>
      <c r="I669" s="304">
        <f t="shared" ca="1" si="303"/>
        <v>136.61772746846648</v>
      </c>
      <c r="J669" s="306">
        <f t="shared" ca="1" si="304"/>
        <v>712.18513894933824</v>
      </c>
      <c r="K669" s="307">
        <f t="shared" ca="1" si="305"/>
        <v>-8.5359256729574113</v>
      </c>
      <c r="L669" s="304">
        <f t="shared" ca="1" si="290"/>
        <v>712.23629096486127</v>
      </c>
      <c r="M669" s="306">
        <f t="shared" ca="1" si="306"/>
        <v>-1.5065805237567793</v>
      </c>
      <c r="N669" s="304">
        <f t="shared" ca="1" si="307"/>
        <v>-86.320705507872518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4.0843000000000034</v>
      </c>
      <c r="T669" s="304">
        <f t="shared" ca="1" si="291"/>
        <v>40.066983000000036</v>
      </c>
      <c r="U669" s="311">
        <f t="shared" ca="1" si="292"/>
        <v>0</v>
      </c>
      <c r="V669" s="306">
        <f t="shared" ca="1" si="293"/>
        <v>1.2260460973654053</v>
      </c>
      <c r="W669" s="304">
        <f t="shared" ca="1" si="294"/>
        <v>33.417889941045786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 t="e">
        <f t="shared" ca="1" si="295"/>
        <v>#N/A</v>
      </c>
      <c r="AG669" s="306">
        <f t="shared" ca="1" si="317"/>
        <v>1.6077743993674041</v>
      </c>
      <c r="AH669" s="304">
        <f t="shared" ca="1" si="318"/>
        <v>-8.1820056620344754</v>
      </c>
    </row>
    <row r="670" spans="1:34" x14ac:dyDescent="0.2">
      <c r="A670" s="347">
        <f t="shared" ca="1" si="296"/>
        <v>1E-4</v>
      </c>
      <c r="B670" s="304">
        <f t="shared" ca="1" si="297"/>
        <v>41.613600000000744</v>
      </c>
      <c r="D670" s="306">
        <f t="shared" ca="1" si="298"/>
        <v>-0.52505498450030552</v>
      </c>
      <c r="E670" s="307">
        <f t="shared" ca="1" si="299"/>
        <v>-1.6448281343534905</v>
      </c>
      <c r="F670" s="304">
        <f t="shared" ca="1" si="300"/>
        <v>1.7265984849725198</v>
      </c>
      <c r="G670" s="306">
        <f t="shared" ca="1" si="301"/>
        <v>8.7669363125736322</v>
      </c>
      <c r="H670" s="307">
        <f t="shared" ca="1" si="302"/>
        <v>-136.33630556694411</v>
      </c>
      <c r="I670" s="304">
        <f t="shared" ca="1" si="303"/>
        <v>136.61788824290866</v>
      </c>
      <c r="J670" s="306">
        <f t="shared" ca="1" si="304"/>
        <v>712.18513894933824</v>
      </c>
      <c r="K670" s="307">
        <f t="shared" ca="1" si="305"/>
        <v>-8.5495592952899653</v>
      </c>
      <c r="L670" s="304">
        <f t="shared" ca="1" si="290"/>
        <v>712.23645448996217</v>
      </c>
      <c r="M670" s="306">
        <f t="shared" ca="1" si="306"/>
        <v>-1.5065809845486782</v>
      </c>
      <c r="N670" s="304">
        <f t="shared" ca="1" si="307"/>
        <v>-86.320731909303547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4.0843000000000034</v>
      </c>
      <c r="T670" s="304">
        <f t="shared" ca="1" si="291"/>
        <v>40.066983000000036</v>
      </c>
      <c r="U670" s="311">
        <f t="shared" ca="1" si="292"/>
        <v>0</v>
      </c>
      <c r="V670" s="306">
        <f t="shared" ca="1" si="293"/>
        <v>1.2260477689117952</v>
      </c>
      <c r="W670" s="304">
        <f t="shared" ca="1" si="294"/>
        <v>33.418014155594619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 t="e">
        <f t="shared" ca="1" si="295"/>
        <v>#N/A</v>
      </c>
      <c r="AG670" s="306">
        <f t="shared" ca="1" si="317"/>
        <v>1.6077442765037624</v>
      </c>
      <c r="AH670" s="304">
        <f t="shared" ca="1" si="318"/>
        <v>-8.1820360749812107</v>
      </c>
    </row>
    <row r="671" spans="1:34" x14ac:dyDescent="0.2">
      <c r="A671" s="347">
        <f t="shared" ca="1" si="296"/>
        <v>1E-4</v>
      </c>
      <c r="B671" s="304">
        <f t="shared" ca="1" si="297"/>
        <v>41.613700000000748</v>
      </c>
      <c r="D671" s="306">
        <f t="shared" ca="1" si="298"/>
        <v>-0.52505317367455173</v>
      </c>
      <c r="E671" s="307">
        <f t="shared" ca="1" si="299"/>
        <v>-1.6447975424069963</v>
      </c>
      <c r="F671" s="304">
        <f t="shared" ca="1" si="300"/>
        <v>1.7265687911849368</v>
      </c>
      <c r="G671" s="306">
        <f t="shared" ca="1" si="301"/>
        <v>8.7668838072562654</v>
      </c>
      <c r="H671" s="307">
        <f t="shared" ca="1" si="302"/>
        <v>-136.33647004669834</v>
      </c>
      <c r="I671" s="304">
        <f t="shared" ca="1" si="303"/>
        <v>136.61804901433854</v>
      </c>
      <c r="J671" s="306">
        <f t="shared" ca="1" si="304"/>
        <v>712.18513894933824</v>
      </c>
      <c r="K671" s="307">
        <f t="shared" ca="1" si="305"/>
        <v>-8.5631929340706474</v>
      </c>
      <c r="L671" s="304">
        <f t="shared" ca="1" si="290"/>
        <v>712.23661827619787</v>
      </c>
      <c r="M671" s="306">
        <f t="shared" ca="1" si="306"/>
        <v>-1.5065814453367325</v>
      </c>
      <c r="N671" s="304">
        <f t="shared" ca="1" si="307"/>
        <v>-86.320758310514321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4.0843000000000034</v>
      </c>
      <c r="T671" s="304">
        <f t="shared" ca="1" si="291"/>
        <v>40.066983000000036</v>
      </c>
      <c r="U671" s="311">
        <f t="shared" ca="1" si="292"/>
        <v>0</v>
      </c>
      <c r="V671" s="306">
        <f t="shared" ca="1" si="293"/>
        <v>1.2260494404624813</v>
      </c>
      <c r="W671" s="304">
        <f t="shared" ca="1" si="294"/>
        <v>33.41813836909391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 t="e">
        <f t="shared" ca="1" si="295"/>
        <v>#N/A</v>
      </c>
      <c r="AG671" s="306">
        <f t="shared" ca="1" si="317"/>
        <v>1.6077141538925837</v>
      </c>
      <c r="AH671" s="304">
        <f t="shared" ca="1" si="318"/>
        <v>-8.1820664876709817</v>
      </c>
    </row>
    <row r="672" spans="1:34" x14ac:dyDescent="0.2">
      <c r="A672" s="347">
        <f t="shared" ca="1" si="296"/>
        <v>1E-4</v>
      </c>
      <c r="B672" s="304">
        <f t="shared" ca="1" si="297"/>
        <v>41.613800000000751</v>
      </c>
      <c r="D672" s="306">
        <f t="shared" ca="1" si="298"/>
        <v>-0.52505136283561749</v>
      </c>
      <c r="E672" s="307">
        <f t="shared" ca="1" si="299"/>
        <v>-1.6447669507188962</v>
      </c>
      <c r="F672" s="304">
        <f t="shared" ca="1" si="300"/>
        <v>1.7265390976727619</v>
      </c>
      <c r="G672" s="306">
        <f t="shared" ca="1" si="301"/>
        <v>8.7668313021199822</v>
      </c>
      <c r="H672" s="307">
        <f t="shared" ca="1" si="302"/>
        <v>-136.3366345233934</v>
      </c>
      <c r="I672" s="304">
        <f t="shared" ca="1" si="303"/>
        <v>136.61820978275617</v>
      </c>
      <c r="J672" s="306">
        <f t="shared" ca="1" si="304"/>
        <v>712.18513894933824</v>
      </c>
      <c r="K672" s="307">
        <f t="shared" ca="1" si="305"/>
        <v>-8.5768265892991522</v>
      </c>
      <c r="L672" s="304">
        <f t="shared" ca="1" si="290"/>
        <v>712.23678232356906</v>
      </c>
      <c r="M672" s="306">
        <f t="shared" ca="1" si="306"/>
        <v>-1.5065819061209431</v>
      </c>
      <c r="N672" s="304">
        <f t="shared" ca="1" si="307"/>
        <v>-86.320784711504842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4.0843000000000034</v>
      </c>
      <c r="T672" s="304">
        <f t="shared" ca="1" si="291"/>
        <v>40.066983000000036</v>
      </c>
      <c r="U672" s="311">
        <f t="shared" ca="1" si="292"/>
        <v>0</v>
      </c>
      <c r="V672" s="306">
        <f t="shared" ca="1" si="293"/>
        <v>1.226051112017464</v>
      </c>
      <c r="W672" s="304">
        <f t="shared" ca="1" si="294"/>
        <v>33.418262581543686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1.6076840315338767</v>
      </c>
      <c r="AH672" s="304">
        <f t="shared" ca="1" si="318"/>
        <v>-8.1820969001037831</v>
      </c>
    </row>
    <row r="673" spans="1:34" x14ac:dyDescent="0.2">
      <c r="A673" s="347">
        <f t="shared" ca="1" si="296"/>
        <v>1E-4</v>
      </c>
      <c r="B673" s="304">
        <f t="shared" ca="1" si="297"/>
        <v>41.613900000000754</v>
      </c>
      <c r="D673" s="306">
        <f t="shared" ca="1" si="298"/>
        <v>-0.52504955198349867</v>
      </c>
      <c r="E673" s="307">
        <f t="shared" ca="1" si="299"/>
        <v>-1.6447363592891833</v>
      </c>
      <c r="F673" s="304">
        <f t="shared" ca="1" si="300"/>
        <v>1.7265094044359881</v>
      </c>
      <c r="G673" s="306">
        <f t="shared" ca="1" si="301"/>
        <v>8.7667787971647844</v>
      </c>
      <c r="H673" s="307">
        <f t="shared" ca="1" si="302"/>
        <v>-136.33679899702932</v>
      </c>
      <c r="I673" s="304">
        <f t="shared" ca="1" si="303"/>
        <v>136.61837054816161</v>
      </c>
      <c r="J673" s="306">
        <f t="shared" ca="1" si="304"/>
        <v>712.18513894933824</v>
      </c>
      <c r="K673" s="307">
        <f t="shared" ca="1" si="305"/>
        <v>-8.5904602609751741</v>
      </c>
      <c r="L673" s="304">
        <f t="shared" ca="1" si="290"/>
        <v>712.23694663207664</v>
      </c>
      <c r="M673" s="306">
        <f t="shared" ca="1" si="306"/>
        <v>-1.5065823669013094</v>
      </c>
      <c r="N673" s="304">
        <f t="shared" ca="1" si="307"/>
        <v>-86.320811112275123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4.0843000000000034</v>
      </c>
      <c r="T673" s="304">
        <f t="shared" ca="1" si="291"/>
        <v>40.066983000000036</v>
      </c>
      <c r="U673" s="311">
        <f t="shared" ca="1" si="292"/>
        <v>0</v>
      </c>
      <c r="V673" s="306">
        <f t="shared" ca="1" si="293"/>
        <v>1.2260527835767432</v>
      </c>
      <c r="W673" s="304">
        <f t="shared" ca="1" si="294"/>
        <v>33.418386792943949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1.6076539094276363</v>
      </c>
      <c r="AH673" s="304">
        <f t="shared" ca="1" si="318"/>
        <v>-8.1821273122796221</v>
      </c>
    </row>
    <row r="674" spans="1:34" x14ac:dyDescent="0.2">
      <c r="A674" s="347">
        <f t="shared" ca="1" si="296"/>
        <v>1E-4</v>
      </c>
      <c r="B674" s="304">
        <f t="shared" ca="1" si="297"/>
        <v>41.614000000000757</v>
      </c>
      <c r="D674" s="306">
        <f t="shared" ca="1" si="298"/>
        <v>-0.52504774111819941</v>
      </c>
      <c r="E674" s="307">
        <f t="shared" ca="1" si="299"/>
        <v>-1.6447057681178574</v>
      </c>
      <c r="F674" s="304">
        <f t="shared" ca="1" si="300"/>
        <v>1.7264797114746167</v>
      </c>
      <c r="G674" s="306">
        <f t="shared" ca="1" si="301"/>
        <v>8.7667262923906719</v>
      </c>
      <c r="H674" s="307">
        <f t="shared" ca="1" si="302"/>
        <v>-136.33696346760613</v>
      </c>
      <c r="I674" s="304">
        <f t="shared" ca="1" si="303"/>
        <v>136.61853131055486</v>
      </c>
      <c r="J674" s="306">
        <f t="shared" ca="1" si="304"/>
        <v>712.18513894933824</v>
      </c>
      <c r="K674" s="307">
        <f t="shared" ca="1" si="305"/>
        <v>-8.6040939490984059</v>
      </c>
      <c r="L674" s="304">
        <f t="shared" ca="1" si="290"/>
        <v>712.23711120172129</v>
      </c>
      <c r="M674" s="306">
        <f t="shared" ca="1" si="306"/>
        <v>-1.5065828276778317</v>
      </c>
      <c r="N674" s="304">
        <f t="shared" ca="1" si="307"/>
        <v>-86.32083751282515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4.0843000000000034</v>
      </c>
      <c r="T674" s="304">
        <f t="shared" ca="1" si="291"/>
        <v>40.066983000000036</v>
      </c>
      <c r="U674" s="311">
        <f t="shared" ca="1" si="292"/>
        <v>0</v>
      </c>
      <c r="V674" s="306">
        <f t="shared" ca="1" si="293"/>
        <v>1.2260544551403194</v>
      </c>
      <c r="W674" s="304">
        <f t="shared" ca="1" si="294"/>
        <v>33.418511003294711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 t="e">
        <f t="shared" ca="1" si="315"/>
        <v>#N/A</v>
      </c>
      <c r="AD674" s="323" t="e">
        <f t="shared" ca="1" si="316"/>
        <v>#N/A</v>
      </c>
      <c r="AE674" s="324" t="e">
        <f t="shared" ca="1" si="295"/>
        <v>#N/A</v>
      </c>
      <c r="AG674" s="306">
        <f t="shared" ca="1" si="317"/>
        <v>1.6076237875738606</v>
      </c>
      <c r="AH674" s="304">
        <f t="shared" ca="1" si="318"/>
        <v>-8.1821577241984969</v>
      </c>
    </row>
    <row r="675" spans="1:34" x14ac:dyDescent="0.2">
      <c r="A675" s="347">
        <f t="shared" ca="1" si="296"/>
        <v>1E-4</v>
      </c>
      <c r="B675" s="304">
        <f t="shared" ca="1" si="297"/>
        <v>41.614100000000761</v>
      </c>
      <c r="D675" s="306">
        <f t="shared" ca="1" si="298"/>
        <v>-0.52504593023971879</v>
      </c>
      <c r="E675" s="307">
        <f t="shared" ca="1" si="299"/>
        <v>-1.6446751772049151</v>
      </c>
      <c r="F675" s="304">
        <f t="shared" ca="1" si="300"/>
        <v>1.7264500187886445</v>
      </c>
      <c r="G675" s="306">
        <f t="shared" ca="1" si="301"/>
        <v>8.7666737877976484</v>
      </c>
      <c r="H675" s="307">
        <f t="shared" ca="1" si="302"/>
        <v>-136.33712793512385</v>
      </c>
      <c r="I675" s="304">
        <f t="shared" ca="1" si="303"/>
        <v>136.61869206993595</v>
      </c>
      <c r="J675" s="306">
        <f t="shared" ca="1" si="304"/>
        <v>712.18513894933824</v>
      </c>
      <c r="K675" s="307">
        <f t="shared" ca="1" si="305"/>
        <v>-8.6177276536685419</v>
      </c>
      <c r="L675" s="304">
        <f t="shared" ca="1" si="290"/>
        <v>712.23727603250381</v>
      </c>
      <c r="M675" s="306">
        <f t="shared" ca="1" si="306"/>
        <v>-1.5065832884505099</v>
      </c>
      <c r="N675" s="304">
        <f t="shared" ca="1" si="307"/>
        <v>-86.320863913154923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4.0843000000000034</v>
      </c>
      <c r="T675" s="304">
        <f t="shared" ca="1" si="291"/>
        <v>40.066983000000036</v>
      </c>
      <c r="U675" s="311">
        <f t="shared" ca="1" si="292"/>
        <v>0</v>
      </c>
      <c r="V675" s="306">
        <f t="shared" ca="1" si="293"/>
        <v>1.2260561267081915</v>
      </c>
      <c r="W675" s="304">
        <f t="shared" ca="1" si="294"/>
        <v>33.418635212595944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1.6075936659725443</v>
      </c>
      <c r="AH675" s="304">
        <f t="shared" ca="1" si="318"/>
        <v>-8.1821881358604127</v>
      </c>
    </row>
    <row r="676" spans="1:34" x14ac:dyDescent="0.2">
      <c r="A676" s="347">
        <f t="shared" ca="1" si="296"/>
        <v>1E-4</v>
      </c>
      <c r="B676" s="304">
        <f t="shared" ca="1" si="297"/>
        <v>41.614200000000764</v>
      </c>
      <c r="D676" s="306">
        <f t="shared" ca="1" si="298"/>
        <v>-0.52504411934805728</v>
      </c>
      <c r="E676" s="307">
        <f t="shared" ca="1" si="299"/>
        <v>-1.6446445865503616</v>
      </c>
      <c r="F676" s="304">
        <f t="shared" ca="1" si="300"/>
        <v>1.7264203263780773</v>
      </c>
      <c r="G676" s="306">
        <f t="shared" ca="1" si="301"/>
        <v>8.7666212833857138</v>
      </c>
      <c r="H676" s="307">
        <f t="shared" ca="1" si="302"/>
        <v>-136.33729239958251</v>
      </c>
      <c r="I676" s="304">
        <f t="shared" ca="1" si="303"/>
        <v>136.61885282630496</v>
      </c>
      <c r="J676" s="306">
        <f t="shared" ca="1" si="304"/>
        <v>712.18513894933824</v>
      </c>
      <c r="K676" s="307">
        <f t="shared" ca="1" si="305"/>
        <v>-8.6313613746852766</v>
      </c>
      <c r="L676" s="304">
        <f t="shared" ca="1" si="290"/>
        <v>712.23744112442489</v>
      </c>
      <c r="M676" s="306">
        <f t="shared" ca="1" si="306"/>
        <v>-1.5065837492193441</v>
      </c>
      <c r="N676" s="304">
        <f t="shared" ca="1" si="307"/>
        <v>-86.320890313264456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4.0843000000000034</v>
      </c>
      <c r="T676" s="304">
        <f t="shared" ca="1" si="291"/>
        <v>40.066983000000036</v>
      </c>
      <c r="U676" s="311">
        <f t="shared" ca="1" si="292"/>
        <v>0</v>
      </c>
      <c r="V676" s="306">
        <f t="shared" ca="1" si="293"/>
        <v>1.22605779828036</v>
      </c>
      <c r="W676" s="304">
        <f t="shared" ca="1" si="294"/>
        <v>33.418759420847699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1.6075635446236962</v>
      </c>
      <c r="AH676" s="304">
        <f t="shared" ca="1" si="318"/>
        <v>-8.1822185472653626</v>
      </c>
    </row>
    <row r="677" spans="1:34" x14ac:dyDescent="0.2">
      <c r="A677" s="347">
        <f t="shared" ca="1" si="296"/>
        <v>1E-4</v>
      </c>
      <c r="B677" s="304">
        <f t="shared" ca="1" si="297"/>
        <v>41.614300000000767</v>
      </c>
      <c r="D677" s="306">
        <f t="shared" ca="1" si="298"/>
        <v>-0.52504230844321609</v>
      </c>
      <c r="E677" s="307">
        <f t="shared" ca="1" si="299"/>
        <v>-1.6446139961541881</v>
      </c>
      <c r="F677" s="304">
        <f t="shared" ca="1" si="300"/>
        <v>1.7263906342429076</v>
      </c>
      <c r="G677" s="306">
        <f t="shared" ca="1" si="301"/>
        <v>8.7665687791548699</v>
      </c>
      <c r="H677" s="307">
        <f t="shared" ca="1" si="302"/>
        <v>-136.33745686098212</v>
      </c>
      <c r="I677" s="304">
        <f t="shared" ca="1" si="303"/>
        <v>136.61901357966178</v>
      </c>
      <c r="J677" s="306">
        <f t="shared" ca="1" si="304"/>
        <v>712.18513894933824</v>
      </c>
      <c r="K677" s="307">
        <f t="shared" ca="1" si="305"/>
        <v>-8.6449951121483046</v>
      </c>
      <c r="L677" s="304">
        <f t="shared" ca="1" si="290"/>
        <v>712.23760647748531</v>
      </c>
      <c r="M677" s="306">
        <f t="shared" ca="1" si="306"/>
        <v>-1.5065842099843345</v>
      </c>
      <c r="N677" s="304">
        <f t="shared" ca="1" si="307"/>
        <v>-86.32091671315375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4.0843000000000034</v>
      </c>
      <c r="T677" s="304">
        <f t="shared" ca="1" si="291"/>
        <v>40.066983000000036</v>
      </c>
      <c r="U677" s="311">
        <f t="shared" ca="1" si="292"/>
        <v>0</v>
      </c>
      <c r="V677" s="306">
        <f t="shared" ca="1" si="293"/>
        <v>1.2260594698568248</v>
      </c>
      <c r="W677" s="304">
        <f t="shared" ca="1" si="294"/>
        <v>33.418883628049898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1.6075334235273075</v>
      </c>
      <c r="AH677" s="304">
        <f t="shared" ca="1" si="318"/>
        <v>-8.1822489584133571</v>
      </c>
    </row>
    <row r="678" spans="1:34" x14ac:dyDescent="0.2">
      <c r="A678" s="347">
        <f t="shared" ca="1" si="296"/>
        <v>1E-4</v>
      </c>
      <c r="B678" s="304">
        <f t="shared" ca="1" si="297"/>
        <v>41.614400000000771</v>
      </c>
      <c r="D678" s="306">
        <f t="shared" ca="1" si="298"/>
        <v>-0.52504049752519322</v>
      </c>
      <c r="E678" s="307">
        <f t="shared" ca="1" si="299"/>
        <v>-1.6445834060164106</v>
      </c>
      <c r="F678" s="304">
        <f t="shared" ca="1" si="300"/>
        <v>1.726360942383151</v>
      </c>
      <c r="G678" s="306">
        <f t="shared" ca="1" si="301"/>
        <v>8.7665162751051167</v>
      </c>
      <c r="H678" s="307">
        <f t="shared" ca="1" si="302"/>
        <v>-136.33762131932272</v>
      </c>
      <c r="I678" s="304">
        <f t="shared" ca="1" si="303"/>
        <v>136.61917433000656</v>
      </c>
      <c r="J678" s="306">
        <f t="shared" ca="1" si="304"/>
        <v>712.18513894933824</v>
      </c>
      <c r="K678" s="307">
        <f t="shared" ca="1" si="305"/>
        <v>-8.6586288660573203</v>
      </c>
      <c r="L678" s="304">
        <f t="shared" ca="1" si="290"/>
        <v>712.23777209168588</v>
      </c>
      <c r="M678" s="306">
        <f t="shared" ca="1" si="306"/>
        <v>-1.5065846707454811</v>
      </c>
      <c r="N678" s="304">
        <f t="shared" ca="1" si="307"/>
        <v>-86.320943112822818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4.0843000000000034</v>
      </c>
      <c r="T678" s="304">
        <f t="shared" ca="1" si="291"/>
        <v>40.066983000000036</v>
      </c>
      <c r="U678" s="311">
        <f t="shared" ca="1" si="292"/>
        <v>0</v>
      </c>
      <c r="V678" s="306">
        <f t="shared" ca="1" si="293"/>
        <v>1.2260611414375864</v>
      </c>
      <c r="W678" s="304">
        <f t="shared" ca="1" si="294"/>
        <v>33.41900783420261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1.6075033026833907</v>
      </c>
      <c r="AH678" s="304">
        <f t="shared" ca="1" si="318"/>
        <v>-8.1822793693043785</v>
      </c>
    </row>
    <row r="679" spans="1:34" x14ac:dyDescent="0.2">
      <c r="A679" s="347">
        <f t="shared" ca="1" si="296"/>
        <v>1E-4</v>
      </c>
      <c r="B679" s="304">
        <f t="shared" ca="1" si="297"/>
        <v>41.614500000000774</v>
      </c>
      <c r="D679" s="306">
        <f t="shared" ca="1" si="298"/>
        <v>-0.52503868659399011</v>
      </c>
      <c r="E679" s="307">
        <f t="shared" ca="1" si="299"/>
        <v>-1.6445528161370166</v>
      </c>
      <c r="F679" s="304">
        <f t="shared" ca="1" si="300"/>
        <v>1.7263312507987956</v>
      </c>
      <c r="G679" s="306">
        <f t="shared" ca="1" si="301"/>
        <v>8.7664637712364577</v>
      </c>
      <c r="H679" s="307">
        <f t="shared" ca="1" si="302"/>
        <v>-136.33778577460433</v>
      </c>
      <c r="I679" s="304">
        <f t="shared" ca="1" si="303"/>
        <v>136.61933507733926</v>
      </c>
      <c r="J679" s="306">
        <f t="shared" ca="1" si="304"/>
        <v>712.18513894933824</v>
      </c>
      <c r="K679" s="307">
        <f t="shared" ca="1" si="305"/>
        <v>-8.6722626364120163</v>
      </c>
      <c r="L679" s="304">
        <f t="shared" ca="1" si="290"/>
        <v>712.23793796702739</v>
      </c>
      <c r="M679" s="306">
        <f t="shared" ca="1" si="306"/>
        <v>-1.5065851315027836</v>
      </c>
      <c r="N679" s="304">
        <f t="shared" ca="1" si="307"/>
        <v>-86.320969512271631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4.0843000000000034</v>
      </c>
      <c r="T679" s="304">
        <f t="shared" ca="1" si="291"/>
        <v>40.066983000000036</v>
      </c>
      <c r="U679" s="311">
        <f t="shared" ca="1" si="292"/>
        <v>0</v>
      </c>
      <c r="V679" s="306">
        <f t="shared" ca="1" si="293"/>
        <v>1.2260628130226441</v>
      </c>
      <c r="W679" s="304">
        <f t="shared" ca="1" si="294"/>
        <v>33.419132039305815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1.607473182091935</v>
      </c>
      <c r="AH679" s="304">
        <f t="shared" ca="1" si="318"/>
        <v>-8.1823097799384428</v>
      </c>
    </row>
    <row r="680" spans="1:34" x14ac:dyDescent="0.2">
      <c r="A680" s="347">
        <f t="shared" ca="1" si="296"/>
        <v>1E-4</v>
      </c>
      <c r="B680" s="304">
        <f t="shared" ca="1" si="297"/>
        <v>41.614600000000777</v>
      </c>
      <c r="D680" s="306">
        <f t="shared" ca="1" si="298"/>
        <v>-0.52503687564960921</v>
      </c>
      <c r="E680" s="307">
        <f t="shared" ca="1" si="299"/>
        <v>-1.6445222265160044</v>
      </c>
      <c r="F680" s="304">
        <f t="shared" ca="1" si="300"/>
        <v>1.7263015594898419</v>
      </c>
      <c r="G680" s="306">
        <f t="shared" ca="1" si="301"/>
        <v>8.766411267548893</v>
      </c>
      <c r="H680" s="307">
        <f t="shared" ca="1" si="302"/>
        <v>-136.33795022682699</v>
      </c>
      <c r="I680" s="304">
        <f t="shared" ca="1" si="303"/>
        <v>136.61949582165994</v>
      </c>
      <c r="J680" s="306">
        <f t="shared" ca="1" si="304"/>
        <v>712.18513894933824</v>
      </c>
      <c r="K680" s="307">
        <f t="shared" ca="1" si="305"/>
        <v>-8.6858964232120872</v>
      </c>
      <c r="L680" s="304">
        <f t="shared" ca="1" si="290"/>
        <v>712.23810410351041</v>
      </c>
      <c r="M680" s="306">
        <f t="shared" ca="1" si="306"/>
        <v>-1.5065855922562426</v>
      </c>
      <c r="N680" s="304">
        <f t="shared" ca="1" si="307"/>
        <v>-86.320995911500219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4.0843000000000034</v>
      </c>
      <c r="T680" s="304">
        <f t="shared" ca="1" si="291"/>
        <v>40.066983000000036</v>
      </c>
      <c r="U680" s="311">
        <f t="shared" ca="1" si="292"/>
        <v>0</v>
      </c>
      <c r="V680" s="306">
        <f t="shared" ca="1" si="293"/>
        <v>1.2260644846119977</v>
      </c>
      <c r="W680" s="304">
        <f t="shared" ca="1" si="294"/>
        <v>33.419256243359506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1.6074430617529387</v>
      </c>
      <c r="AH680" s="304">
        <f t="shared" ca="1" si="318"/>
        <v>-8.1823401903155464</v>
      </c>
    </row>
    <row r="681" spans="1:34" x14ac:dyDescent="0.2">
      <c r="A681" s="347">
        <f t="shared" ca="1" si="296"/>
        <v>1E-4</v>
      </c>
      <c r="B681" s="304">
        <f t="shared" ca="1" si="297"/>
        <v>41.614700000000781</v>
      </c>
      <c r="D681" s="306">
        <f t="shared" ca="1" si="298"/>
        <v>-0.52503506469204753</v>
      </c>
      <c r="E681" s="307">
        <f t="shared" ca="1" si="299"/>
        <v>-1.6444916371533793</v>
      </c>
      <c r="F681" s="304">
        <f t="shared" ca="1" si="300"/>
        <v>1.7262718684562939</v>
      </c>
      <c r="G681" s="306">
        <f t="shared" ca="1" si="301"/>
        <v>8.7663587640424243</v>
      </c>
      <c r="H681" s="307">
        <f t="shared" ca="1" si="302"/>
        <v>-136.33811467599071</v>
      </c>
      <c r="I681" s="304">
        <f t="shared" ca="1" si="303"/>
        <v>136.61965656296863</v>
      </c>
      <c r="J681" s="306">
        <f t="shared" ca="1" si="304"/>
        <v>712.18513894933824</v>
      </c>
      <c r="K681" s="307">
        <f t="shared" ca="1" si="305"/>
        <v>-8.6995302264572274</v>
      </c>
      <c r="L681" s="304">
        <f t="shared" ca="1" si="290"/>
        <v>712.23827050113596</v>
      </c>
      <c r="M681" s="306">
        <f t="shared" ca="1" si="306"/>
        <v>-1.5065860530058577</v>
      </c>
      <c r="N681" s="304">
        <f t="shared" ca="1" si="307"/>
        <v>-86.321022310508582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4.0843000000000034</v>
      </c>
      <c r="T681" s="304">
        <f t="shared" ca="1" si="291"/>
        <v>40.066983000000036</v>
      </c>
      <c r="U681" s="311">
        <f t="shared" ca="1" si="292"/>
        <v>0</v>
      </c>
      <c r="V681" s="306">
        <f t="shared" ca="1" si="293"/>
        <v>1.2260661562056483</v>
      </c>
      <c r="W681" s="304">
        <f t="shared" ca="1" si="294"/>
        <v>33.419380446363718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1.6074129416664107</v>
      </c>
      <c r="AH681" s="304">
        <f t="shared" ca="1" si="318"/>
        <v>-8.1823706004356875</v>
      </c>
    </row>
    <row r="682" spans="1:34" x14ac:dyDescent="0.2">
      <c r="A682" s="347">
        <f t="shared" ca="1" si="296"/>
        <v>1E-4</v>
      </c>
      <c r="B682" s="304">
        <f t="shared" ca="1" si="297"/>
        <v>41.614800000000784</v>
      </c>
      <c r="D682" s="306">
        <f t="shared" ca="1" si="298"/>
        <v>-0.52503325372130794</v>
      </c>
      <c r="E682" s="307">
        <f t="shared" ca="1" si="299"/>
        <v>-1.6444610480491342</v>
      </c>
      <c r="F682" s="304">
        <f t="shared" ca="1" si="300"/>
        <v>1.7262421776981467</v>
      </c>
      <c r="G682" s="306">
        <f t="shared" ca="1" si="301"/>
        <v>8.7663062607170517</v>
      </c>
      <c r="H682" s="307">
        <f t="shared" ca="1" si="302"/>
        <v>-136.33827912209551</v>
      </c>
      <c r="I682" s="304">
        <f t="shared" ca="1" si="303"/>
        <v>136.6198173012653</v>
      </c>
      <c r="J682" s="306">
        <f t="shared" ca="1" si="304"/>
        <v>712.18513894933824</v>
      </c>
      <c r="K682" s="307">
        <f t="shared" ca="1" si="305"/>
        <v>-8.7131640461471314</v>
      </c>
      <c r="L682" s="304">
        <f t="shared" ca="1" si="290"/>
        <v>712.23843715990461</v>
      </c>
      <c r="M682" s="306">
        <f t="shared" ca="1" si="306"/>
        <v>-1.506586513751629</v>
      </c>
      <c r="N682" s="304">
        <f t="shared" ca="1" si="307"/>
        <v>-86.321048709296704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4.0843000000000034</v>
      </c>
      <c r="T682" s="304">
        <f t="shared" ca="1" si="291"/>
        <v>40.066983000000036</v>
      </c>
      <c r="U682" s="311">
        <f t="shared" ca="1" si="292"/>
        <v>0</v>
      </c>
      <c r="V682" s="306">
        <f t="shared" ca="1" si="293"/>
        <v>1.2260678278035946</v>
      </c>
      <c r="W682" s="304">
        <f t="shared" ca="1" si="294"/>
        <v>33.419504648318402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1.6073828218323385</v>
      </c>
      <c r="AH682" s="304">
        <f t="shared" ca="1" si="318"/>
        <v>-8.1824010102988733</v>
      </c>
    </row>
    <row r="683" spans="1:34" x14ac:dyDescent="0.2">
      <c r="A683" s="347">
        <f t="shared" ca="1" si="296"/>
        <v>1E-4</v>
      </c>
      <c r="B683" s="304">
        <f t="shared" ca="1" si="297"/>
        <v>41.614900000000787</v>
      </c>
      <c r="D683" s="306">
        <f t="shared" ca="1" si="298"/>
        <v>-0.52503144273739044</v>
      </c>
      <c r="E683" s="307">
        <f t="shared" ca="1" si="299"/>
        <v>-1.6444304592032797</v>
      </c>
      <c r="F683" s="304">
        <f t="shared" ca="1" si="300"/>
        <v>1.7262124872154108</v>
      </c>
      <c r="G683" s="306">
        <f t="shared" ca="1" si="301"/>
        <v>8.7662537575727786</v>
      </c>
      <c r="H683" s="307">
        <f t="shared" ca="1" si="302"/>
        <v>-136.33844356514143</v>
      </c>
      <c r="I683" s="304">
        <f t="shared" ca="1" si="303"/>
        <v>136.61997803655004</v>
      </c>
      <c r="J683" s="306">
        <f t="shared" ca="1" si="304"/>
        <v>712.18513894933824</v>
      </c>
      <c r="K683" s="307">
        <f t="shared" ca="1" si="305"/>
        <v>-8.7267978822814936</v>
      </c>
      <c r="L683" s="304">
        <f t="shared" ca="1" si="290"/>
        <v>712.23860407981704</v>
      </c>
      <c r="M683" s="306">
        <f t="shared" ca="1" si="306"/>
        <v>-1.5065869744935569</v>
      </c>
      <c r="N683" s="304">
        <f t="shared" ca="1" si="307"/>
        <v>-86.321075107864615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4.0843000000000034</v>
      </c>
      <c r="T683" s="304">
        <f t="shared" ca="1" si="291"/>
        <v>40.066983000000036</v>
      </c>
      <c r="U683" s="311">
        <f t="shared" ca="1" si="292"/>
        <v>0</v>
      </c>
      <c r="V683" s="306">
        <f t="shared" ca="1" si="293"/>
        <v>1.2260694994058372</v>
      </c>
      <c r="W683" s="304">
        <f t="shared" ca="1" si="294"/>
        <v>33.419628849223599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1.6073527022507346</v>
      </c>
      <c r="AH683" s="304">
        <f t="shared" ca="1" si="318"/>
        <v>-8.1824314199050932</v>
      </c>
    </row>
    <row r="684" spans="1:34" x14ac:dyDescent="0.2">
      <c r="A684" s="347">
        <f t="shared" ca="1" si="296"/>
        <v>1E-4</v>
      </c>
      <c r="B684" s="304">
        <f t="shared" ca="1" si="297"/>
        <v>41.615000000000791</v>
      </c>
      <c r="D684" s="306">
        <f t="shared" ca="1" si="298"/>
        <v>-0.52502963174029293</v>
      </c>
      <c r="E684" s="307">
        <f t="shared" ca="1" si="299"/>
        <v>-1.6443998706158034</v>
      </c>
      <c r="F684" s="304">
        <f t="shared" ca="1" si="300"/>
        <v>1.7261827970080743</v>
      </c>
      <c r="G684" s="306">
        <f t="shared" ca="1" si="301"/>
        <v>8.7662012546096051</v>
      </c>
      <c r="H684" s="307">
        <f t="shared" ca="1" si="302"/>
        <v>-136.33860800512849</v>
      </c>
      <c r="I684" s="304">
        <f t="shared" ca="1" si="303"/>
        <v>136.62013876882284</v>
      </c>
      <c r="J684" s="306">
        <f t="shared" ca="1" si="304"/>
        <v>712.18513894933824</v>
      </c>
      <c r="K684" s="307">
        <f t="shared" ca="1" si="305"/>
        <v>-8.7404317348600067</v>
      </c>
      <c r="L684" s="304">
        <f t="shared" ca="1" si="290"/>
        <v>712.23877126087427</v>
      </c>
      <c r="M684" s="306">
        <f t="shared" ca="1" si="306"/>
        <v>-1.5065874352316411</v>
      </c>
      <c r="N684" s="304">
        <f t="shared" ca="1" si="307"/>
        <v>-86.321101506212301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4.0843000000000034</v>
      </c>
      <c r="T684" s="304">
        <f t="shared" ca="1" si="291"/>
        <v>40.066983000000036</v>
      </c>
      <c r="U684" s="311">
        <f t="shared" ca="1" si="292"/>
        <v>0</v>
      </c>
      <c r="V684" s="306">
        <f t="shared" ca="1" si="293"/>
        <v>1.2260711710123757</v>
      </c>
      <c r="W684" s="304">
        <f t="shared" ca="1" si="294"/>
        <v>33.41975304907929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 t="e">
        <f t="shared" ca="1" si="315"/>
        <v>#N/A</v>
      </c>
      <c r="AD684" s="323" t="e">
        <f t="shared" ca="1" si="316"/>
        <v>#N/A</v>
      </c>
      <c r="AE684" s="324" t="e">
        <f t="shared" ca="1" si="295"/>
        <v>#N/A</v>
      </c>
      <c r="AG684" s="306">
        <f t="shared" ca="1" si="317"/>
        <v>1.6073225829215882</v>
      </c>
      <c r="AH684" s="304">
        <f t="shared" ca="1" si="318"/>
        <v>-8.1824618292543576</v>
      </c>
    </row>
    <row r="685" spans="1:34" x14ac:dyDescent="0.2">
      <c r="A685" s="347">
        <f t="shared" ca="1" si="296"/>
        <v>1E-4</v>
      </c>
      <c r="B685" s="304">
        <f t="shared" ca="1" si="297"/>
        <v>41.615100000000794</v>
      </c>
      <c r="D685" s="306">
        <f t="shared" ca="1" si="298"/>
        <v>-0.52502782073001919</v>
      </c>
      <c r="E685" s="307">
        <f t="shared" ca="1" si="299"/>
        <v>-1.6443692822867142</v>
      </c>
      <c r="F685" s="304">
        <f t="shared" ca="1" si="300"/>
        <v>1.7261531070761471</v>
      </c>
      <c r="G685" s="306">
        <f t="shared" ca="1" si="301"/>
        <v>8.7661487518275329</v>
      </c>
      <c r="H685" s="307">
        <f t="shared" ca="1" si="302"/>
        <v>-136.33877244205672</v>
      </c>
      <c r="I685" s="304">
        <f t="shared" ca="1" si="303"/>
        <v>136.62029949808371</v>
      </c>
      <c r="J685" s="306">
        <f t="shared" ca="1" si="304"/>
        <v>712.18513894933824</v>
      </c>
      <c r="K685" s="307">
        <f t="shared" ca="1" si="305"/>
        <v>-8.7540656038823652</v>
      </c>
      <c r="L685" s="304">
        <f t="shared" ca="1" si="290"/>
        <v>712.23893870307688</v>
      </c>
      <c r="M685" s="306">
        <f t="shared" ca="1" si="306"/>
        <v>-1.5065878959658818</v>
      </c>
      <c r="N685" s="304">
        <f t="shared" ca="1" si="307"/>
        <v>-86.321127904339775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4.0843000000000034</v>
      </c>
      <c r="T685" s="304">
        <f t="shared" ca="1" si="291"/>
        <v>40.066983000000036</v>
      </c>
      <c r="U685" s="311">
        <f t="shared" ca="1" si="292"/>
        <v>0</v>
      </c>
      <c r="V685" s="306">
        <f t="shared" ca="1" si="293"/>
        <v>1.2260728426232113</v>
      </c>
      <c r="W685" s="304">
        <f t="shared" ca="1" si="294"/>
        <v>33.419877247885481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1.6072924638449066</v>
      </c>
      <c r="AH685" s="304">
        <f t="shared" ca="1" si="318"/>
        <v>-8.1824922383466596</v>
      </c>
    </row>
    <row r="686" spans="1:34" x14ac:dyDescent="0.2">
      <c r="A686" s="347">
        <f t="shared" ca="1" si="296"/>
        <v>1E-4</v>
      </c>
      <c r="B686" s="304">
        <f t="shared" ca="1" si="297"/>
        <v>41.615200000000797</v>
      </c>
      <c r="D686" s="306">
        <f t="shared" ca="1" si="298"/>
        <v>-0.52502600970656654</v>
      </c>
      <c r="E686" s="307">
        <f t="shared" ca="1" si="299"/>
        <v>-1.6443386942160068</v>
      </c>
      <c r="F686" s="304">
        <f t="shared" ca="1" si="300"/>
        <v>1.7261234174196241</v>
      </c>
      <c r="G686" s="306">
        <f t="shared" ca="1" si="301"/>
        <v>8.7660962492265622</v>
      </c>
      <c r="H686" s="307">
        <f t="shared" ca="1" si="302"/>
        <v>-136.33893687592615</v>
      </c>
      <c r="I686" s="304">
        <f t="shared" ca="1" si="303"/>
        <v>136.6204602243327</v>
      </c>
      <c r="J686" s="306">
        <f t="shared" ca="1" si="304"/>
        <v>712.18513894933824</v>
      </c>
      <c r="K686" s="307">
        <f t="shared" ca="1" si="305"/>
        <v>-8.7676994893482636</v>
      </c>
      <c r="L686" s="304">
        <f t="shared" ca="1" si="290"/>
        <v>712.23910640642566</v>
      </c>
      <c r="M686" s="306">
        <f t="shared" ca="1" si="306"/>
        <v>-1.506588356696279</v>
      </c>
      <c r="N686" s="304">
        <f t="shared" ca="1" si="307"/>
        <v>-86.321154302247024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4.0843000000000034</v>
      </c>
      <c r="T686" s="304">
        <f t="shared" ca="1" si="291"/>
        <v>40.066983000000036</v>
      </c>
      <c r="U686" s="311">
        <f t="shared" ca="1" si="292"/>
        <v>0</v>
      </c>
      <c r="V686" s="306">
        <f t="shared" ca="1" si="293"/>
        <v>1.226074514238342</v>
      </c>
      <c r="W686" s="304">
        <f t="shared" ca="1" si="294"/>
        <v>33.420001445642164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1.607262345020688</v>
      </c>
      <c r="AH686" s="304">
        <f t="shared" ca="1" si="318"/>
        <v>-8.1825226471820027</v>
      </c>
    </row>
    <row r="687" spans="1:34" x14ac:dyDescent="0.2">
      <c r="A687" s="347">
        <f t="shared" ca="1" si="296"/>
        <v>1E-4</v>
      </c>
      <c r="B687" s="304">
        <f t="shared" ca="1" si="297"/>
        <v>41.615300000000801</v>
      </c>
      <c r="D687" s="306">
        <f t="shared" ca="1" si="298"/>
        <v>-0.52502419866993721</v>
      </c>
      <c r="E687" s="307">
        <f t="shared" ca="1" si="299"/>
        <v>-1.6443081064036846</v>
      </c>
      <c r="F687" s="304">
        <f t="shared" ca="1" si="300"/>
        <v>1.7260937280385098</v>
      </c>
      <c r="G687" s="306">
        <f t="shared" ca="1" si="301"/>
        <v>8.7660437468066945</v>
      </c>
      <c r="H687" s="307">
        <f t="shared" ca="1" si="302"/>
        <v>-136.33910130673678</v>
      </c>
      <c r="I687" s="304">
        <f t="shared" ca="1" si="303"/>
        <v>136.62062094756985</v>
      </c>
      <c r="J687" s="306">
        <f t="shared" ca="1" si="304"/>
        <v>712.18513894933824</v>
      </c>
      <c r="K687" s="307">
        <f t="shared" ca="1" si="305"/>
        <v>-8.7813333912573963</v>
      </c>
      <c r="L687" s="304">
        <f t="shared" ca="1" si="290"/>
        <v>712.23927437092141</v>
      </c>
      <c r="M687" s="306">
        <f t="shared" ca="1" si="306"/>
        <v>-1.5065888174228326</v>
      </c>
      <c r="N687" s="304">
        <f t="shared" ca="1" si="307"/>
        <v>-86.321180699934061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4.0843000000000034</v>
      </c>
      <c r="T687" s="304">
        <f t="shared" ca="1" si="291"/>
        <v>40.066983000000036</v>
      </c>
      <c r="U687" s="311">
        <f t="shared" ca="1" si="292"/>
        <v>0</v>
      </c>
      <c r="V687" s="306">
        <f t="shared" ca="1" si="293"/>
        <v>1.2260761858577693</v>
      </c>
      <c r="W687" s="304">
        <f t="shared" ca="1" si="294"/>
        <v>33.420125642349369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1.6072322264489323</v>
      </c>
      <c r="AH687" s="304">
        <f t="shared" ca="1" si="318"/>
        <v>-8.1825530557603834</v>
      </c>
    </row>
    <row r="688" spans="1:34" x14ac:dyDescent="0.2">
      <c r="A688" s="347">
        <f t="shared" ca="1" si="296"/>
        <v>1E-4</v>
      </c>
      <c r="B688" s="304">
        <f t="shared" ca="1" si="297"/>
        <v>41.615400000000804</v>
      </c>
      <c r="D688" s="306">
        <f t="shared" ca="1" si="298"/>
        <v>-0.52502238762013276</v>
      </c>
      <c r="E688" s="307">
        <f t="shared" ca="1" si="299"/>
        <v>-1.6442775188497425</v>
      </c>
      <c r="F688" s="304">
        <f t="shared" ca="1" si="300"/>
        <v>1.7260640389327999</v>
      </c>
      <c r="G688" s="306">
        <f t="shared" ca="1" si="301"/>
        <v>8.7659912445679318</v>
      </c>
      <c r="H688" s="307">
        <f t="shared" ca="1" si="302"/>
        <v>-136.33926573448866</v>
      </c>
      <c r="I688" s="304">
        <f t="shared" ca="1" si="303"/>
        <v>136.62078166779517</v>
      </c>
      <c r="J688" s="306">
        <f t="shared" ca="1" si="304"/>
        <v>712.18513894933824</v>
      </c>
      <c r="K688" s="307">
        <f t="shared" ca="1" si="305"/>
        <v>-8.7949673096094578</v>
      </c>
      <c r="L688" s="304">
        <f t="shared" ca="1" si="290"/>
        <v>712.2394425965648</v>
      </c>
      <c r="M688" s="306">
        <f t="shared" ca="1" si="306"/>
        <v>-1.506589278145543</v>
      </c>
      <c r="N688" s="304">
        <f t="shared" ca="1" si="307"/>
        <v>-86.321207097400887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4.0843000000000034</v>
      </c>
      <c r="T688" s="304">
        <f t="shared" ca="1" si="291"/>
        <v>40.066983000000036</v>
      </c>
      <c r="U688" s="311">
        <f t="shared" ca="1" si="292"/>
        <v>0</v>
      </c>
      <c r="V688" s="306">
        <f t="shared" ca="1" si="293"/>
        <v>1.2260778574814928</v>
      </c>
      <c r="W688" s="304">
        <f t="shared" ca="1" si="294"/>
        <v>33.420249838007088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1.6072021081296342</v>
      </c>
      <c r="AH688" s="304">
        <f t="shared" ca="1" si="318"/>
        <v>-8.1825834640818105</v>
      </c>
    </row>
    <row r="689" spans="1:34" x14ac:dyDescent="0.2">
      <c r="A689" s="347">
        <f t="shared" ca="1" si="296"/>
        <v>1E-4</v>
      </c>
      <c r="B689" s="304">
        <f t="shared" ca="1" si="297"/>
        <v>41.615500000000807</v>
      </c>
      <c r="D689" s="306">
        <f t="shared" ca="1" si="298"/>
        <v>-0.52502057655714984</v>
      </c>
      <c r="E689" s="307">
        <f t="shared" ca="1" si="299"/>
        <v>-1.6442469315541768</v>
      </c>
      <c r="F689" s="304">
        <f t="shared" ca="1" si="300"/>
        <v>1.7260343501024908</v>
      </c>
      <c r="G689" s="306">
        <f t="shared" ca="1" si="301"/>
        <v>8.7659387425102757</v>
      </c>
      <c r="H689" s="307">
        <f t="shared" ca="1" si="302"/>
        <v>-136.33943015918183</v>
      </c>
      <c r="I689" s="304">
        <f t="shared" ca="1" si="303"/>
        <v>136.6209423850087</v>
      </c>
      <c r="J689" s="306">
        <f t="shared" ca="1" si="304"/>
        <v>712.18513894933824</v>
      </c>
      <c r="K689" s="307">
        <f t="shared" ca="1" si="305"/>
        <v>-8.8086012444041408</v>
      </c>
      <c r="L689" s="304">
        <f t="shared" ca="1" si="290"/>
        <v>712.23961108335664</v>
      </c>
      <c r="M689" s="306">
        <f t="shared" ca="1" si="306"/>
        <v>-1.5065897388644098</v>
      </c>
      <c r="N689" s="304">
        <f t="shared" ca="1" si="307"/>
        <v>-86.321233494647501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4.0843000000000034</v>
      </c>
      <c r="T689" s="304">
        <f t="shared" ca="1" si="291"/>
        <v>40.066983000000036</v>
      </c>
      <c r="U689" s="311">
        <f t="shared" ca="1" si="292"/>
        <v>0</v>
      </c>
      <c r="V689" s="306">
        <f t="shared" ca="1" si="293"/>
        <v>1.2260795291095123</v>
      </c>
      <c r="W689" s="304">
        <f t="shared" ca="1" si="294"/>
        <v>33.420374032615328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1.6071719900627937</v>
      </c>
      <c r="AH689" s="304">
        <f t="shared" ca="1" si="318"/>
        <v>-8.1826138721462822</v>
      </c>
    </row>
    <row r="690" spans="1:34" x14ac:dyDescent="0.2">
      <c r="A690" s="347">
        <f t="shared" ca="1" si="296"/>
        <v>1E-4</v>
      </c>
      <c r="B690" s="304">
        <f t="shared" ca="1" si="297"/>
        <v>41.615600000000811</v>
      </c>
      <c r="D690" s="306">
        <f t="shared" ca="1" si="298"/>
        <v>-0.5250187654809928</v>
      </c>
      <c r="E690" s="307">
        <f t="shared" ca="1" si="299"/>
        <v>-1.6442163445169928</v>
      </c>
      <c r="F690" s="304">
        <f t="shared" ca="1" si="300"/>
        <v>1.7260046615475892</v>
      </c>
      <c r="G690" s="306">
        <f t="shared" ca="1" si="301"/>
        <v>8.7658862406337281</v>
      </c>
      <c r="H690" s="307">
        <f t="shared" ca="1" si="302"/>
        <v>-136.33959458081628</v>
      </c>
      <c r="I690" s="304">
        <f t="shared" ca="1" si="303"/>
        <v>136.62110309921042</v>
      </c>
      <c r="J690" s="306">
        <f t="shared" ca="1" si="304"/>
        <v>712.18513894933824</v>
      </c>
      <c r="K690" s="307">
        <f t="shared" ca="1" si="305"/>
        <v>-8.8222351956411416</v>
      </c>
      <c r="L690" s="304">
        <f t="shared" ca="1" si="290"/>
        <v>712.23977983129771</v>
      </c>
      <c r="M690" s="306">
        <f t="shared" ca="1" si="306"/>
        <v>-1.5065901995794335</v>
      </c>
      <c r="N690" s="304">
        <f t="shared" ca="1" si="307"/>
        <v>-86.321259891673918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4.0843000000000034</v>
      </c>
      <c r="T690" s="304">
        <f t="shared" ca="1" si="291"/>
        <v>40.066983000000036</v>
      </c>
      <c r="U690" s="311">
        <f t="shared" ca="1" si="292"/>
        <v>0</v>
      </c>
      <c r="V690" s="306">
        <f t="shared" ca="1" si="293"/>
        <v>1.2260812007418282</v>
      </c>
      <c r="W690" s="304">
        <f t="shared" ca="1" si="294"/>
        <v>33.420498226174054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1.6071418722484108</v>
      </c>
      <c r="AH690" s="304">
        <f t="shared" ca="1" si="318"/>
        <v>-8.1826442799537986</v>
      </c>
    </row>
    <row r="691" spans="1:34" x14ac:dyDescent="0.2">
      <c r="A691" s="347">
        <f t="shared" ca="1" si="296"/>
        <v>1E-4</v>
      </c>
      <c r="B691" s="304">
        <f t="shared" ca="1" si="297"/>
        <v>41.615700000000814</v>
      </c>
      <c r="D691" s="306">
        <f t="shared" ca="1" si="298"/>
        <v>-0.52501695439165841</v>
      </c>
      <c r="E691" s="307">
        <f t="shared" ca="1" si="299"/>
        <v>-1.6441857577381942</v>
      </c>
      <c r="F691" s="304">
        <f t="shared" ca="1" si="300"/>
        <v>1.7259749732680982</v>
      </c>
      <c r="G691" s="306">
        <f t="shared" ca="1" si="301"/>
        <v>8.765833738938289</v>
      </c>
      <c r="H691" s="307">
        <f t="shared" ca="1" si="302"/>
        <v>-136.33975899939205</v>
      </c>
      <c r="I691" s="304">
        <f t="shared" ca="1" si="303"/>
        <v>136.62126381040036</v>
      </c>
      <c r="J691" s="306">
        <f t="shared" ca="1" si="304"/>
        <v>712.18513894933824</v>
      </c>
      <c r="K691" s="307">
        <f t="shared" ca="1" si="305"/>
        <v>-8.8358691633201527</v>
      </c>
      <c r="L691" s="304">
        <f t="shared" ca="1" si="290"/>
        <v>712.23994884038871</v>
      </c>
      <c r="M691" s="306">
        <f t="shared" ca="1" si="306"/>
        <v>-1.5065906602906138</v>
      </c>
      <c r="N691" s="304">
        <f t="shared" ca="1" si="307"/>
        <v>-86.321286288480124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4.0843000000000034</v>
      </c>
      <c r="T691" s="304">
        <f t="shared" ca="1" si="291"/>
        <v>40.066983000000036</v>
      </c>
      <c r="U691" s="311">
        <f t="shared" ca="1" si="292"/>
        <v>0</v>
      </c>
      <c r="V691" s="306">
        <f t="shared" ca="1" si="293"/>
        <v>1.2260828723784394</v>
      </c>
      <c r="W691" s="304">
        <f t="shared" ca="1" si="294"/>
        <v>33.42062241868328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1.6071117546864926</v>
      </c>
      <c r="AH691" s="304">
        <f t="shared" ca="1" si="318"/>
        <v>-8.1826746875043526</v>
      </c>
    </row>
    <row r="692" spans="1:34" x14ac:dyDescent="0.2">
      <c r="A692" s="347">
        <f t="shared" ca="1" si="296"/>
        <v>1E-4</v>
      </c>
      <c r="B692" s="304">
        <f t="shared" ca="1" si="297"/>
        <v>41.615800000000817</v>
      </c>
      <c r="D692" s="306">
        <f t="shared" ca="1" si="298"/>
        <v>-0.52501514328914933</v>
      </c>
      <c r="E692" s="307">
        <f t="shared" ca="1" si="299"/>
        <v>-1.6441551712177791</v>
      </c>
      <c r="F692" s="304">
        <f t="shared" ca="1" si="300"/>
        <v>1.7259452852640176</v>
      </c>
      <c r="G692" s="306">
        <f t="shared" ca="1" si="301"/>
        <v>8.7657812374239601</v>
      </c>
      <c r="H692" s="307">
        <f t="shared" ca="1" si="302"/>
        <v>-136.33992341490918</v>
      </c>
      <c r="I692" s="304">
        <f t="shared" ca="1" si="303"/>
        <v>136.62142451857861</v>
      </c>
      <c r="J692" s="306">
        <f t="shared" ca="1" si="304"/>
        <v>712.18513894933824</v>
      </c>
      <c r="K692" s="307">
        <f t="shared" ca="1" si="305"/>
        <v>-8.849503147440867</v>
      </c>
      <c r="L692" s="304">
        <f t="shared" ca="1" si="290"/>
        <v>712.24011811063042</v>
      </c>
      <c r="M692" s="306">
        <f t="shared" ca="1" si="306"/>
        <v>-1.506591120997951</v>
      </c>
      <c r="N692" s="304">
        <f t="shared" ca="1" si="307"/>
        <v>-86.321312685066133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4.0843000000000034</v>
      </c>
      <c r="T692" s="304">
        <f t="shared" ca="1" si="291"/>
        <v>40.066983000000036</v>
      </c>
      <c r="U692" s="311">
        <f t="shared" ca="1" si="292"/>
        <v>0</v>
      </c>
      <c r="V692" s="306">
        <f t="shared" ca="1" si="293"/>
        <v>1.2260845440193473</v>
      </c>
      <c r="W692" s="304">
        <f t="shared" ca="1" si="294"/>
        <v>33.420746610143048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1.6070816373770409</v>
      </c>
      <c r="AH692" s="304">
        <f t="shared" ca="1" si="318"/>
        <v>-8.1827050947979458</v>
      </c>
    </row>
    <row r="693" spans="1:34" x14ac:dyDescent="0.2">
      <c r="A693" s="347">
        <f t="shared" ca="1" si="296"/>
        <v>1E-4</v>
      </c>
      <c r="B693" s="304">
        <f t="shared" ca="1" si="297"/>
        <v>41.615900000000821</v>
      </c>
      <c r="D693" s="306">
        <f t="shared" ca="1" si="298"/>
        <v>-0.52501333217346502</v>
      </c>
      <c r="E693" s="307">
        <f t="shared" ca="1" si="299"/>
        <v>-1.6441245849557369</v>
      </c>
      <c r="F693" s="304">
        <f t="shared" ca="1" si="300"/>
        <v>1.7259155975353371</v>
      </c>
      <c r="G693" s="306">
        <f t="shared" ca="1" si="301"/>
        <v>8.7657287360907432</v>
      </c>
      <c r="H693" s="307">
        <f t="shared" ca="1" si="302"/>
        <v>-136.34008782736768</v>
      </c>
      <c r="I693" s="304">
        <f t="shared" ca="1" si="303"/>
        <v>136.62158522374514</v>
      </c>
      <c r="J693" s="306">
        <f t="shared" ca="1" si="304"/>
        <v>712.18513894933824</v>
      </c>
      <c r="K693" s="307">
        <f t="shared" ca="1" si="305"/>
        <v>-8.8631371480029806</v>
      </c>
      <c r="L693" s="304">
        <f t="shared" ca="1" si="290"/>
        <v>712.24028764202365</v>
      </c>
      <c r="M693" s="306">
        <f t="shared" ca="1" si="306"/>
        <v>-1.5065915817014448</v>
      </c>
      <c r="N693" s="304">
        <f t="shared" ca="1" si="307"/>
        <v>-86.32133908143193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4.0843000000000034</v>
      </c>
      <c r="T693" s="304">
        <f t="shared" ca="1" si="291"/>
        <v>40.066983000000036</v>
      </c>
      <c r="U693" s="311">
        <f t="shared" ca="1" si="292"/>
        <v>0</v>
      </c>
      <c r="V693" s="306">
        <f t="shared" ca="1" si="293"/>
        <v>1.2260862156645511</v>
      </c>
      <c r="W693" s="304">
        <f t="shared" ca="1" si="294"/>
        <v>33.420870800553338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1.607051520320038</v>
      </c>
      <c r="AH693" s="304">
        <f t="shared" ca="1" si="318"/>
        <v>-8.1827355018345909</v>
      </c>
    </row>
    <row r="694" spans="1:34" x14ac:dyDescent="0.2">
      <c r="A694" s="347">
        <f t="shared" ca="1" si="296"/>
        <v>1E-4</v>
      </c>
      <c r="B694" s="304">
        <f t="shared" ca="1" si="297"/>
        <v>41.616000000000824</v>
      </c>
      <c r="D694" s="306">
        <f t="shared" ca="1" si="298"/>
        <v>-0.52501152104460791</v>
      </c>
      <c r="E694" s="307">
        <f t="shared" ca="1" si="299"/>
        <v>-1.6440939989520729</v>
      </c>
      <c r="F694" s="304">
        <f t="shared" ca="1" si="300"/>
        <v>1.7258859100820632</v>
      </c>
      <c r="G694" s="306">
        <f t="shared" ca="1" si="301"/>
        <v>8.7656762349386383</v>
      </c>
      <c r="H694" s="307">
        <f t="shared" ca="1" si="302"/>
        <v>-136.34025223676758</v>
      </c>
      <c r="I694" s="304">
        <f t="shared" ca="1" si="303"/>
        <v>136.6217459259</v>
      </c>
      <c r="J694" s="306">
        <f t="shared" ca="1" si="304"/>
        <v>712.18513894933824</v>
      </c>
      <c r="K694" s="307">
        <f t="shared" ca="1" si="305"/>
        <v>-8.876771165006188</v>
      </c>
      <c r="L694" s="304">
        <f t="shared" ca="1" si="290"/>
        <v>712.24045743456907</v>
      </c>
      <c r="M694" s="306">
        <f t="shared" ca="1" si="306"/>
        <v>-1.5065920424010957</v>
      </c>
      <c r="N694" s="304">
        <f t="shared" ca="1" si="307"/>
        <v>-86.321365477577558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4.0843000000000034</v>
      </c>
      <c r="T694" s="304">
        <f t="shared" ca="1" si="291"/>
        <v>40.066983000000036</v>
      </c>
      <c r="U694" s="311">
        <f t="shared" ca="1" si="292"/>
        <v>0</v>
      </c>
      <c r="V694" s="306">
        <f t="shared" ca="1" si="293"/>
        <v>1.2260878873140506</v>
      </c>
      <c r="W694" s="304">
        <f t="shared" ca="1" si="294"/>
        <v>33.420994989914135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 t="e">
        <f t="shared" ca="1" si="315"/>
        <v>#N/A</v>
      </c>
      <c r="AD694" s="323" t="e">
        <f t="shared" ca="1" si="316"/>
        <v>#N/A</v>
      </c>
      <c r="AE694" s="324" t="e">
        <f t="shared" ca="1" si="295"/>
        <v>#N/A</v>
      </c>
      <c r="AG694" s="306">
        <f t="shared" ca="1" si="317"/>
        <v>1.6070214035154944</v>
      </c>
      <c r="AH694" s="304">
        <f t="shared" ca="1" si="318"/>
        <v>-8.1827659086142823</v>
      </c>
    </row>
    <row r="695" spans="1:34" x14ac:dyDescent="0.2">
      <c r="A695" s="347">
        <f t="shared" ca="1" si="296"/>
        <v>1E-4</v>
      </c>
      <c r="B695" s="304">
        <f t="shared" ca="1" si="297"/>
        <v>41.616100000000827</v>
      </c>
      <c r="D695" s="306">
        <f t="shared" ca="1" si="298"/>
        <v>-0.52500970990257456</v>
      </c>
      <c r="E695" s="307">
        <f t="shared" ca="1" si="299"/>
        <v>-1.6440634132067906</v>
      </c>
      <c r="F695" s="304">
        <f t="shared" ca="1" si="300"/>
        <v>1.7258562229041989</v>
      </c>
      <c r="G695" s="306">
        <f t="shared" ca="1" si="301"/>
        <v>8.7656237339676473</v>
      </c>
      <c r="H695" s="307">
        <f t="shared" ca="1" si="302"/>
        <v>-136.34041664310891</v>
      </c>
      <c r="I695" s="304">
        <f t="shared" ca="1" si="303"/>
        <v>136.62190662504321</v>
      </c>
      <c r="J695" s="306">
        <f t="shared" ca="1" si="304"/>
        <v>712.18513894933824</v>
      </c>
      <c r="K695" s="307">
        <f t="shared" ca="1" si="305"/>
        <v>-8.890405198450182</v>
      </c>
      <c r="L695" s="304">
        <f t="shared" ca="1" si="290"/>
        <v>712.24062748826736</v>
      </c>
      <c r="M695" s="306">
        <f t="shared" ca="1" si="306"/>
        <v>-1.5065925030969034</v>
      </c>
      <c r="N695" s="304">
        <f t="shared" ca="1" si="307"/>
        <v>-86.321391873502975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4.0843000000000034</v>
      </c>
      <c r="T695" s="304">
        <f t="shared" ca="1" si="291"/>
        <v>40.066983000000036</v>
      </c>
      <c r="U695" s="311">
        <f t="shared" ca="1" si="292"/>
        <v>0</v>
      </c>
      <c r="V695" s="306">
        <f t="shared" ca="1" si="293"/>
        <v>1.2260895589678458</v>
      </c>
      <c r="W695" s="304">
        <f t="shared" ca="1" si="294"/>
        <v>33.421119178225446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1.6069912869634084</v>
      </c>
      <c r="AH695" s="304">
        <f t="shared" ca="1" si="318"/>
        <v>-8.1827963151370149</v>
      </c>
    </row>
    <row r="696" spans="1:34" x14ac:dyDescent="0.2">
      <c r="A696" s="347">
        <f t="shared" ca="1" si="296"/>
        <v>1E-4</v>
      </c>
      <c r="B696" s="304">
        <f t="shared" ca="1" si="297"/>
        <v>41.616200000000831</v>
      </c>
      <c r="D696" s="306">
        <f t="shared" ca="1" si="298"/>
        <v>-0.52500789874736775</v>
      </c>
      <c r="E696" s="307">
        <f t="shared" ca="1" si="299"/>
        <v>-1.6440328277198919</v>
      </c>
      <c r="F696" s="304">
        <f t="shared" ca="1" si="300"/>
        <v>1.7258265360017473</v>
      </c>
      <c r="G696" s="306">
        <f t="shared" ca="1" si="301"/>
        <v>8.7655712331777718</v>
      </c>
      <c r="H696" s="307">
        <f t="shared" ca="1" si="302"/>
        <v>-136.34058104639169</v>
      </c>
      <c r="I696" s="304">
        <f t="shared" ca="1" si="303"/>
        <v>136.6220673211748</v>
      </c>
      <c r="J696" s="306">
        <f t="shared" ca="1" si="304"/>
        <v>712.18513894933824</v>
      </c>
      <c r="K696" s="307">
        <f t="shared" ca="1" si="305"/>
        <v>-8.9040392483346569</v>
      </c>
      <c r="L696" s="304">
        <f t="shared" ca="1" si="290"/>
        <v>712.24079780311945</v>
      </c>
      <c r="M696" s="306">
        <f t="shared" ca="1" si="306"/>
        <v>-1.5065929637888682</v>
      </c>
      <c r="N696" s="304">
        <f t="shared" ca="1" si="307"/>
        <v>-86.321418269208209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4.0843000000000034</v>
      </c>
      <c r="T696" s="304">
        <f t="shared" ca="1" si="291"/>
        <v>40.066983000000036</v>
      </c>
      <c r="U696" s="311">
        <f t="shared" ca="1" si="292"/>
        <v>0</v>
      </c>
      <c r="V696" s="306">
        <f t="shared" ca="1" si="293"/>
        <v>1.2260912306259371</v>
      </c>
      <c r="W696" s="304">
        <f t="shared" ca="1" si="294"/>
        <v>33.421243365487285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1.6069611706637872</v>
      </c>
      <c r="AH696" s="304">
        <f t="shared" ca="1" si="318"/>
        <v>-8.1828267214027903</v>
      </c>
    </row>
    <row r="697" spans="1:34" x14ac:dyDescent="0.2">
      <c r="A697" s="347">
        <f t="shared" ca="1" si="296"/>
        <v>1E-4</v>
      </c>
      <c r="B697" s="304">
        <f t="shared" ca="1" si="297"/>
        <v>41.616300000000834</v>
      </c>
      <c r="D697" s="306">
        <f t="shared" ca="1" si="298"/>
        <v>-0.52500608757898659</v>
      </c>
      <c r="E697" s="307">
        <f t="shared" ca="1" si="299"/>
        <v>-1.6440022424913661</v>
      </c>
      <c r="F697" s="304">
        <f t="shared" ca="1" si="300"/>
        <v>1.7257968493746982</v>
      </c>
      <c r="G697" s="306">
        <f t="shared" ca="1" si="301"/>
        <v>8.7655187325690136</v>
      </c>
      <c r="H697" s="307">
        <f t="shared" ca="1" si="302"/>
        <v>-136.34074544661593</v>
      </c>
      <c r="I697" s="304">
        <f t="shared" ca="1" si="303"/>
        <v>136.62222801429473</v>
      </c>
      <c r="J697" s="306">
        <f t="shared" ca="1" si="304"/>
        <v>712.18513894933824</v>
      </c>
      <c r="K697" s="307">
        <f t="shared" ca="1" si="305"/>
        <v>-8.9176733146593072</v>
      </c>
      <c r="L697" s="304">
        <f t="shared" ca="1" si="290"/>
        <v>712.240968379126</v>
      </c>
      <c r="M697" s="306">
        <f t="shared" ca="1" si="306"/>
        <v>-1.5065934244769899</v>
      </c>
      <c r="N697" s="304">
        <f t="shared" ca="1" si="307"/>
        <v>-86.32144466469326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4.0843000000000034</v>
      </c>
      <c r="T697" s="304">
        <f t="shared" ca="1" si="291"/>
        <v>40.066983000000036</v>
      </c>
      <c r="U697" s="311">
        <f t="shared" ca="1" si="292"/>
        <v>0</v>
      </c>
      <c r="V697" s="306">
        <f t="shared" ca="1" si="293"/>
        <v>1.2260929022883245</v>
      </c>
      <c r="W697" s="304">
        <f t="shared" ca="1" si="294"/>
        <v>33.421367551699639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1.6069310546166182</v>
      </c>
      <c r="AH697" s="304">
        <f t="shared" ca="1" si="318"/>
        <v>-8.182857127411614</v>
      </c>
    </row>
    <row r="698" spans="1:34" x14ac:dyDescent="0.2">
      <c r="A698" s="347">
        <f t="shared" ca="1" si="296"/>
        <v>1E-4</v>
      </c>
      <c r="B698" s="304">
        <f t="shared" ca="1" si="297"/>
        <v>41.616400000000837</v>
      </c>
      <c r="D698" s="306">
        <f t="shared" ca="1" si="298"/>
        <v>-0.52500427639743341</v>
      </c>
      <c r="E698" s="307">
        <f t="shared" ca="1" si="299"/>
        <v>-1.6439716575212184</v>
      </c>
      <c r="F698" s="304">
        <f t="shared" ca="1" si="300"/>
        <v>1.7257671630230582</v>
      </c>
      <c r="G698" s="306">
        <f t="shared" ca="1" si="301"/>
        <v>8.7654662321413745</v>
      </c>
      <c r="H698" s="307">
        <f t="shared" ca="1" si="302"/>
        <v>-136.34090984378167</v>
      </c>
      <c r="I698" s="304">
        <f t="shared" ca="1" si="303"/>
        <v>136.62238870440311</v>
      </c>
      <c r="J698" s="306">
        <f t="shared" ca="1" si="304"/>
        <v>712.18513894933824</v>
      </c>
      <c r="K698" s="307">
        <f t="shared" ca="1" si="305"/>
        <v>-8.9313073974238275</v>
      </c>
      <c r="L698" s="304">
        <f t="shared" ca="1" si="290"/>
        <v>712.24113921628782</v>
      </c>
      <c r="M698" s="306">
        <f t="shared" ca="1" si="306"/>
        <v>-1.5065938851612686</v>
      </c>
      <c r="N698" s="304">
        <f t="shared" ca="1" si="307"/>
        <v>-86.321471059958114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4.0843000000000034</v>
      </c>
      <c r="T698" s="304">
        <f t="shared" ca="1" si="291"/>
        <v>40.066983000000036</v>
      </c>
      <c r="U698" s="311">
        <f t="shared" ca="1" si="292"/>
        <v>0</v>
      </c>
      <c r="V698" s="306">
        <f t="shared" ca="1" si="293"/>
        <v>1.2260945739550075</v>
      </c>
      <c r="W698" s="304">
        <f t="shared" ca="1" si="294"/>
        <v>33.421491736862514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1.6069009388219104</v>
      </c>
      <c r="AH698" s="304">
        <f t="shared" ca="1" si="318"/>
        <v>-8.1828875331634823</v>
      </c>
    </row>
    <row r="699" spans="1:34" x14ac:dyDescent="0.2">
      <c r="A699" s="347">
        <f t="shared" ca="1" si="296"/>
        <v>1E-4</v>
      </c>
      <c r="B699" s="304">
        <f t="shared" ca="1" si="297"/>
        <v>41.61650000000084</v>
      </c>
      <c r="D699" s="306">
        <f t="shared" ca="1" si="298"/>
        <v>-0.52500246520270721</v>
      </c>
      <c r="E699" s="307">
        <f t="shared" ca="1" si="299"/>
        <v>-1.6439410728094526</v>
      </c>
      <c r="F699" s="304">
        <f t="shared" ca="1" si="300"/>
        <v>1.725737476946831</v>
      </c>
      <c r="G699" s="306">
        <f t="shared" ca="1" si="301"/>
        <v>8.7654137318948546</v>
      </c>
      <c r="H699" s="307">
        <f t="shared" ca="1" si="302"/>
        <v>-136.34107423788896</v>
      </c>
      <c r="I699" s="304">
        <f t="shared" ca="1" si="303"/>
        <v>136.62254939149994</v>
      </c>
      <c r="J699" s="306">
        <f t="shared" ca="1" si="304"/>
        <v>712.18513894933824</v>
      </c>
      <c r="K699" s="307">
        <f t="shared" ca="1" si="305"/>
        <v>-8.9449414966279104</v>
      </c>
      <c r="L699" s="304">
        <f t="shared" ca="1" si="290"/>
        <v>712.24131031460558</v>
      </c>
      <c r="M699" s="306">
        <f t="shared" ca="1" si="306"/>
        <v>-1.5065943458417046</v>
      </c>
      <c r="N699" s="304">
        <f t="shared" ca="1" si="307"/>
        <v>-86.321497455002799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4.0843000000000034</v>
      </c>
      <c r="T699" s="304">
        <f t="shared" ca="1" si="291"/>
        <v>40.066983000000036</v>
      </c>
      <c r="U699" s="311">
        <f t="shared" ca="1" si="292"/>
        <v>0</v>
      </c>
      <c r="V699" s="306">
        <f t="shared" ca="1" si="293"/>
        <v>1.2260962456259867</v>
      </c>
      <c r="W699" s="304">
        <f t="shared" ca="1" si="294"/>
        <v>33.421615920975931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1.6068708232796602</v>
      </c>
      <c r="AH699" s="304">
        <f t="shared" ca="1" si="318"/>
        <v>-8.1829179386583952</v>
      </c>
    </row>
    <row r="700" spans="1:34" x14ac:dyDescent="0.2">
      <c r="A700" s="347">
        <f t="shared" ca="1" si="296"/>
        <v>1E-4</v>
      </c>
      <c r="B700" s="304">
        <f t="shared" ca="1" si="297"/>
        <v>41.616600000000844</v>
      </c>
      <c r="D700" s="306">
        <f t="shared" ca="1" si="298"/>
        <v>-0.52500065399480722</v>
      </c>
      <c r="E700" s="307">
        <f t="shared" ca="1" si="299"/>
        <v>-1.6439104883560578</v>
      </c>
      <c r="F700" s="304">
        <f t="shared" ca="1" si="300"/>
        <v>1.7257077911460061</v>
      </c>
      <c r="G700" s="306">
        <f t="shared" ca="1" si="301"/>
        <v>8.7653612318294556</v>
      </c>
      <c r="H700" s="307">
        <f t="shared" ca="1" si="302"/>
        <v>-136.34123862893779</v>
      </c>
      <c r="I700" s="304">
        <f t="shared" ca="1" si="303"/>
        <v>136.62271007558522</v>
      </c>
      <c r="J700" s="306">
        <f t="shared" ca="1" si="304"/>
        <v>712.18513894933824</v>
      </c>
      <c r="K700" s="307">
        <f t="shared" ca="1" si="305"/>
        <v>-8.9585756122712521</v>
      </c>
      <c r="L700" s="304">
        <f t="shared" ca="1" si="290"/>
        <v>712.24148167408009</v>
      </c>
      <c r="M700" s="306">
        <f t="shared" ca="1" si="306"/>
        <v>-1.5065948065182975</v>
      </c>
      <c r="N700" s="304">
        <f t="shared" ca="1" si="307"/>
        <v>-86.321523849827301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4.0843000000000034</v>
      </c>
      <c r="T700" s="304">
        <f t="shared" ca="1" si="291"/>
        <v>40.066983000000036</v>
      </c>
      <c r="U700" s="311">
        <f t="shared" ca="1" si="292"/>
        <v>0</v>
      </c>
      <c r="V700" s="306">
        <f t="shared" ca="1" si="293"/>
        <v>1.2260979173012614</v>
      </c>
      <c r="W700" s="304">
        <f t="shared" ca="1" si="294"/>
        <v>33.421740104039849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1.6068407079898623</v>
      </c>
      <c r="AH700" s="304">
        <f t="shared" ca="1" si="318"/>
        <v>-8.1829483438963599</v>
      </c>
    </row>
    <row r="701" spans="1:34" x14ac:dyDescent="0.2">
      <c r="A701" s="347">
        <f t="shared" ca="1" si="296"/>
        <v>1E-4</v>
      </c>
      <c r="B701" s="304">
        <f t="shared" ca="1" si="297"/>
        <v>41.616700000000847</v>
      </c>
      <c r="D701" s="306">
        <f t="shared" ca="1" si="298"/>
        <v>-0.52499884277373698</v>
      </c>
      <c r="E701" s="307">
        <f t="shared" ca="1" si="299"/>
        <v>-1.6438799041610483</v>
      </c>
      <c r="F701" s="304">
        <f t="shared" ca="1" si="300"/>
        <v>1.7256781056205992</v>
      </c>
      <c r="G701" s="306">
        <f t="shared" ca="1" si="301"/>
        <v>8.7653087319451775</v>
      </c>
      <c r="H701" s="307">
        <f t="shared" ca="1" si="302"/>
        <v>-136.34140301692821</v>
      </c>
      <c r="I701" s="304">
        <f t="shared" ca="1" si="303"/>
        <v>136.62287075665901</v>
      </c>
      <c r="J701" s="306">
        <f t="shared" ca="1" si="304"/>
        <v>712.18513894933824</v>
      </c>
      <c r="K701" s="307">
        <f t="shared" ca="1" si="305"/>
        <v>-8.9722097443535453</v>
      </c>
      <c r="L701" s="304">
        <f t="shared" ca="1" si="290"/>
        <v>712.24165329471214</v>
      </c>
      <c r="M701" s="306">
        <f t="shared" ca="1" si="306"/>
        <v>-1.5065952671910479</v>
      </c>
      <c r="N701" s="304">
        <f t="shared" ca="1" si="307"/>
        <v>-86.321550244431634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4.0843000000000034</v>
      </c>
      <c r="T701" s="304">
        <f t="shared" ca="1" si="291"/>
        <v>40.066983000000036</v>
      </c>
      <c r="U701" s="311">
        <f t="shared" ca="1" si="292"/>
        <v>0</v>
      </c>
      <c r="V701" s="306">
        <f t="shared" ca="1" si="293"/>
        <v>1.2260995889808315</v>
      </c>
      <c r="W701" s="304">
        <f t="shared" ca="1" si="294"/>
        <v>33.421864286054301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1.6068105929525291</v>
      </c>
      <c r="AH701" s="304">
        <f t="shared" ca="1" si="318"/>
        <v>-8.182978748877364</v>
      </c>
    </row>
    <row r="702" spans="1:34" x14ac:dyDescent="0.2">
      <c r="A702" s="347">
        <f t="shared" ca="1" si="296"/>
        <v>1E-4</v>
      </c>
      <c r="B702" s="304">
        <f t="shared" ca="1" si="297"/>
        <v>41.61680000000085</v>
      </c>
      <c r="D702" s="306">
        <f t="shared" ca="1" si="298"/>
        <v>-0.52499703153949251</v>
      </c>
      <c r="E702" s="307">
        <f t="shared" ca="1" si="299"/>
        <v>-1.6438493202244118</v>
      </c>
      <c r="F702" s="304">
        <f t="shared" ca="1" si="300"/>
        <v>1.725648420370598</v>
      </c>
      <c r="G702" s="306">
        <f t="shared" ca="1" si="301"/>
        <v>8.7652562322420238</v>
      </c>
      <c r="H702" s="307">
        <f t="shared" ca="1" si="302"/>
        <v>-136.34156740186023</v>
      </c>
      <c r="I702" s="304">
        <f t="shared" ca="1" si="303"/>
        <v>136.62303143472133</v>
      </c>
      <c r="J702" s="306">
        <f t="shared" ca="1" si="304"/>
        <v>712.18513894933824</v>
      </c>
      <c r="K702" s="307">
        <f t="shared" ca="1" si="305"/>
        <v>-8.9858438928744846</v>
      </c>
      <c r="L702" s="304">
        <f t="shared" ca="1" si="290"/>
        <v>712.2418251765024</v>
      </c>
      <c r="M702" s="306">
        <f t="shared" ca="1" si="306"/>
        <v>-1.5065957278599553</v>
      </c>
      <c r="N702" s="304">
        <f t="shared" ca="1" si="307"/>
        <v>-86.321576638815785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4.0843000000000034</v>
      </c>
      <c r="T702" s="304">
        <f t="shared" ca="1" si="291"/>
        <v>40.066983000000036</v>
      </c>
      <c r="U702" s="311">
        <f t="shared" ca="1" si="292"/>
        <v>0</v>
      </c>
      <c r="V702" s="306">
        <f t="shared" ca="1" si="293"/>
        <v>1.2261012606646982</v>
      </c>
      <c r="W702" s="304">
        <f t="shared" ca="1" si="294"/>
        <v>33.421988467019304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1.60678047816765</v>
      </c>
      <c r="AH702" s="304">
        <f t="shared" ca="1" si="318"/>
        <v>-8.183009153601418</v>
      </c>
    </row>
    <row r="703" spans="1:34" x14ac:dyDescent="0.2">
      <c r="A703" s="347">
        <f t="shared" ca="1" si="296"/>
        <v>1E-4</v>
      </c>
      <c r="B703" s="304">
        <f t="shared" ca="1" si="297"/>
        <v>41.616900000000854</v>
      </c>
      <c r="D703" s="306">
        <f t="shared" ca="1" si="298"/>
        <v>-0.52499522029207824</v>
      </c>
      <c r="E703" s="307">
        <f t="shared" ca="1" si="299"/>
        <v>-1.6438187365461463</v>
      </c>
      <c r="F703" s="304">
        <f t="shared" ca="1" si="300"/>
        <v>1.7256187353960017</v>
      </c>
      <c r="G703" s="306">
        <f t="shared" ca="1" si="301"/>
        <v>8.7652037327199945</v>
      </c>
      <c r="H703" s="307">
        <f t="shared" ca="1" si="302"/>
        <v>-136.34173178373388</v>
      </c>
      <c r="I703" s="304">
        <f t="shared" ca="1" si="303"/>
        <v>136.62319210977219</v>
      </c>
      <c r="J703" s="306">
        <f t="shared" ca="1" si="304"/>
        <v>712.18513894933824</v>
      </c>
      <c r="K703" s="307">
        <f t="shared" ca="1" si="305"/>
        <v>-8.9994780578337643</v>
      </c>
      <c r="L703" s="304">
        <f t="shared" ca="1" si="290"/>
        <v>712.24199731945157</v>
      </c>
      <c r="M703" s="306">
        <f t="shared" ca="1" si="306"/>
        <v>-1.5065961885250201</v>
      </c>
      <c r="N703" s="304">
        <f t="shared" ca="1" si="307"/>
        <v>-86.321603032979752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4.0843000000000034</v>
      </c>
      <c r="T703" s="304">
        <f t="shared" ca="1" si="291"/>
        <v>40.066983000000036</v>
      </c>
      <c r="U703" s="311">
        <f t="shared" ca="1" si="292"/>
        <v>0</v>
      </c>
      <c r="V703" s="306">
        <f t="shared" ca="1" si="293"/>
        <v>1.2261029323528603</v>
      </c>
      <c r="W703" s="304">
        <f t="shared" ca="1" si="294"/>
        <v>33.422112646934835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1.6067503636352196</v>
      </c>
      <c r="AH703" s="304">
        <f t="shared" ca="1" si="318"/>
        <v>-8.1830395580685256</v>
      </c>
    </row>
    <row r="704" spans="1:34" x14ac:dyDescent="0.2">
      <c r="A704" s="347">
        <f t="shared" ca="1" si="296"/>
        <v>1E-4</v>
      </c>
      <c r="B704" s="304">
        <f t="shared" ca="1" si="297"/>
        <v>41.617000000000857</v>
      </c>
      <c r="D704" s="306">
        <f t="shared" ca="1" si="298"/>
        <v>-0.52499340903149261</v>
      </c>
      <c r="E704" s="307">
        <f t="shared" ca="1" si="299"/>
        <v>-1.643788153126259</v>
      </c>
      <c r="F704" s="304">
        <f t="shared" ca="1" si="300"/>
        <v>1.7255890506968181</v>
      </c>
      <c r="G704" s="306">
        <f t="shared" ca="1" si="301"/>
        <v>8.7651512333790915</v>
      </c>
      <c r="H704" s="307">
        <f t="shared" ca="1" si="302"/>
        <v>-136.34189616254918</v>
      </c>
      <c r="I704" s="304">
        <f t="shared" ca="1" si="303"/>
        <v>136.6233527818116</v>
      </c>
      <c r="J704" s="306">
        <f t="shared" ca="1" si="304"/>
        <v>712.18513894933824</v>
      </c>
      <c r="K704" s="307">
        <f t="shared" ca="1" si="305"/>
        <v>-9.013112239231079</v>
      </c>
      <c r="L704" s="304">
        <f t="shared" ca="1" si="290"/>
        <v>712.24216972356055</v>
      </c>
      <c r="M704" s="306">
        <f t="shared" ca="1" si="306"/>
        <v>-1.5065966491862421</v>
      </c>
      <c r="N704" s="304">
        <f t="shared" ca="1" si="307"/>
        <v>-86.321629426923565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4.0843000000000034</v>
      </c>
      <c r="T704" s="304">
        <f t="shared" ca="1" si="291"/>
        <v>40.066983000000036</v>
      </c>
      <c r="U704" s="311">
        <f t="shared" ca="1" si="292"/>
        <v>0</v>
      </c>
      <c r="V704" s="306">
        <f t="shared" ca="1" si="293"/>
        <v>1.2261046040453178</v>
      </c>
      <c r="W704" s="304">
        <f t="shared" ca="1" si="294"/>
        <v>33.42223682580088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 t="e">
        <f t="shared" ca="1" si="315"/>
        <v>#N/A</v>
      </c>
      <c r="AD704" s="323" t="e">
        <f t="shared" ca="1" si="316"/>
        <v>#N/A</v>
      </c>
      <c r="AE704" s="324" t="e">
        <f t="shared" ca="1" si="295"/>
        <v>#N/A</v>
      </c>
      <c r="AG704" s="306">
        <f t="shared" ca="1" si="317"/>
        <v>1.6067202493552504</v>
      </c>
      <c r="AH704" s="304">
        <f t="shared" ca="1" si="318"/>
        <v>-8.1830699622786778</v>
      </c>
    </row>
    <row r="705" spans="1:34" x14ac:dyDescent="0.2">
      <c r="A705" s="347">
        <f t="shared" ca="1" si="296"/>
        <v>1E-4</v>
      </c>
      <c r="B705" s="304">
        <f t="shared" ca="1" si="297"/>
        <v>41.61710000000086</v>
      </c>
      <c r="D705" s="306">
        <f t="shared" ca="1" si="298"/>
        <v>-0.52499159775773652</v>
      </c>
      <c r="E705" s="307">
        <f t="shared" ca="1" si="299"/>
        <v>-1.6437575699647482</v>
      </c>
      <c r="F705" s="304">
        <f t="shared" ca="1" si="300"/>
        <v>1.7255593662730457</v>
      </c>
      <c r="G705" s="306">
        <f t="shared" ca="1" si="301"/>
        <v>8.7650987342193165</v>
      </c>
      <c r="H705" s="307">
        <f t="shared" ca="1" si="302"/>
        <v>-136.34206053830619</v>
      </c>
      <c r="I705" s="304">
        <f t="shared" ca="1" si="303"/>
        <v>136.62351345083965</v>
      </c>
      <c r="J705" s="306">
        <f t="shared" ca="1" si="304"/>
        <v>712.18513894933824</v>
      </c>
      <c r="K705" s="307">
        <f t="shared" ca="1" si="305"/>
        <v>-9.0267464370661212</v>
      </c>
      <c r="L705" s="304">
        <f t="shared" ca="1" si="290"/>
        <v>712.24234238882991</v>
      </c>
      <c r="M705" s="306">
        <f t="shared" ca="1" si="306"/>
        <v>-1.5065971098436215</v>
      </c>
      <c r="N705" s="304">
        <f t="shared" ca="1" si="307"/>
        <v>-86.321655820647209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4.0843000000000034</v>
      </c>
      <c r="T705" s="304">
        <f t="shared" ca="1" si="291"/>
        <v>40.066983000000036</v>
      </c>
      <c r="U705" s="311">
        <f t="shared" ca="1" si="292"/>
        <v>0</v>
      </c>
      <c r="V705" s="306">
        <f t="shared" ca="1" si="293"/>
        <v>1.2261062757420713</v>
      </c>
      <c r="W705" s="304">
        <f t="shared" ca="1" si="294"/>
        <v>33.422361003617496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1.6066901353277387</v>
      </c>
      <c r="AH705" s="304">
        <f t="shared" ca="1" si="318"/>
        <v>-8.1831003662318764</v>
      </c>
    </row>
    <row r="706" spans="1:34" x14ac:dyDescent="0.2">
      <c r="A706" s="347">
        <f t="shared" ca="1" si="296"/>
        <v>1E-4</v>
      </c>
      <c r="B706" s="304">
        <f t="shared" ca="1" si="297"/>
        <v>41.617200000000864</v>
      </c>
      <c r="D706" s="306">
        <f t="shared" ca="1" si="298"/>
        <v>-0.52498978647081107</v>
      </c>
      <c r="E706" s="307">
        <f t="shared" ca="1" si="299"/>
        <v>-1.6437269870616067</v>
      </c>
      <c r="F706" s="304">
        <f t="shared" ca="1" si="300"/>
        <v>1.7255296821246788</v>
      </c>
      <c r="G706" s="306">
        <f t="shared" ca="1" si="301"/>
        <v>8.7650462352406695</v>
      </c>
      <c r="H706" s="307">
        <f t="shared" ca="1" si="302"/>
        <v>-136.34222491100491</v>
      </c>
      <c r="I706" s="304">
        <f t="shared" ca="1" si="303"/>
        <v>136.62367411685631</v>
      </c>
      <c r="J706" s="306">
        <f t="shared" ca="1" si="304"/>
        <v>712.18513894933824</v>
      </c>
      <c r="K706" s="307">
        <f t="shared" ca="1" si="305"/>
        <v>-9.0403806513385874</v>
      </c>
      <c r="L706" s="304">
        <f t="shared" ca="1" si="290"/>
        <v>712.24251531526068</v>
      </c>
      <c r="M706" s="306">
        <f t="shared" ca="1" si="306"/>
        <v>-1.5065975704971586</v>
      </c>
      <c r="N706" s="304">
        <f t="shared" ca="1" si="307"/>
        <v>-86.321682214150698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4.0843000000000034</v>
      </c>
      <c r="T706" s="304">
        <f t="shared" ca="1" si="291"/>
        <v>40.066983000000036</v>
      </c>
      <c r="U706" s="311">
        <f t="shared" ca="1" si="292"/>
        <v>0</v>
      </c>
      <c r="V706" s="306">
        <f t="shared" ca="1" si="293"/>
        <v>1.2261079474431205</v>
      </c>
      <c r="W706" s="304">
        <f t="shared" ca="1" si="294"/>
        <v>33.422485180384633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1.6066600215526723</v>
      </c>
      <c r="AH706" s="304">
        <f t="shared" ca="1" si="318"/>
        <v>-8.1831307699281322</v>
      </c>
    </row>
    <row r="707" spans="1:34" x14ac:dyDescent="0.2">
      <c r="A707" s="347">
        <f t="shared" ca="1" si="296"/>
        <v>1E-4</v>
      </c>
      <c r="B707" s="304">
        <f t="shared" ca="1" si="297"/>
        <v>41.617300000000867</v>
      </c>
      <c r="D707" s="306">
        <f t="shared" ca="1" si="298"/>
        <v>-0.52498797517071283</v>
      </c>
      <c r="E707" s="307">
        <f t="shared" ca="1" si="299"/>
        <v>-1.6436964044168434</v>
      </c>
      <c r="F707" s="304">
        <f t="shared" ca="1" si="300"/>
        <v>1.7254999982517254</v>
      </c>
      <c r="G707" s="306">
        <f t="shared" ca="1" si="301"/>
        <v>8.7649937364431523</v>
      </c>
      <c r="H707" s="307">
        <f t="shared" ca="1" si="302"/>
        <v>-136.34238928064534</v>
      </c>
      <c r="I707" s="304">
        <f t="shared" ca="1" si="303"/>
        <v>136.6238347798616</v>
      </c>
      <c r="J707" s="306">
        <f t="shared" ca="1" si="304"/>
        <v>712.18513894933824</v>
      </c>
      <c r="K707" s="307">
        <f t="shared" ca="1" si="305"/>
        <v>-9.0540148820481701</v>
      </c>
      <c r="L707" s="304">
        <f t="shared" ca="1" si="290"/>
        <v>712.2426885028533</v>
      </c>
      <c r="M707" s="306">
        <f t="shared" ca="1" si="306"/>
        <v>-1.506598031146853</v>
      </c>
      <c r="N707" s="304">
        <f t="shared" ca="1" si="307"/>
        <v>-86.321708607434019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4.0843000000000034</v>
      </c>
      <c r="T707" s="304">
        <f t="shared" ca="1" si="291"/>
        <v>40.066983000000036</v>
      </c>
      <c r="U707" s="311">
        <f t="shared" ca="1" si="292"/>
        <v>0</v>
      </c>
      <c r="V707" s="306">
        <f t="shared" ca="1" si="293"/>
        <v>1.2261096191484651</v>
      </c>
      <c r="W707" s="304">
        <f t="shared" ca="1" si="294"/>
        <v>33.422609356102299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1.606629908030067</v>
      </c>
      <c r="AH707" s="304">
        <f t="shared" ca="1" si="318"/>
        <v>-8.1831611733674325</v>
      </c>
    </row>
    <row r="708" spans="1:34" x14ac:dyDescent="0.2">
      <c r="A708" s="347">
        <f t="shared" ca="1" si="296"/>
        <v>1E-4</v>
      </c>
      <c r="B708" s="304">
        <f t="shared" ca="1" si="297"/>
        <v>41.61740000000087</v>
      </c>
      <c r="D708" s="306">
        <f t="shared" ca="1" si="298"/>
        <v>-0.52498616385744623</v>
      </c>
      <c r="E708" s="307">
        <f t="shared" ca="1" si="299"/>
        <v>-1.6436658220304547</v>
      </c>
      <c r="F708" s="304">
        <f t="shared" ca="1" si="300"/>
        <v>1.7254703146541837</v>
      </c>
      <c r="G708" s="306">
        <f t="shared" ca="1" si="301"/>
        <v>8.7649412378267666</v>
      </c>
      <c r="H708" s="307">
        <f t="shared" ca="1" si="302"/>
        <v>-136.34255364722753</v>
      </c>
      <c r="I708" s="304">
        <f t="shared" ca="1" si="303"/>
        <v>136.62399543985558</v>
      </c>
      <c r="J708" s="306">
        <f t="shared" ca="1" si="304"/>
        <v>712.18513894933824</v>
      </c>
      <c r="K708" s="307">
        <f t="shared" ca="1" si="305"/>
        <v>-9.0676491291945638</v>
      </c>
      <c r="L708" s="304">
        <f t="shared" ref="L708:L771" ca="1" si="319">SQRT(pos_x^2+pos_z^2)</f>
        <v>712.24286195160869</v>
      </c>
      <c r="M708" s="306">
        <f t="shared" ca="1" si="306"/>
        <v>-1.5065984917927049</v>
      </c>
      <c r="N708" s="304">
        <f t="shared" ca="1" si="307"/>
        <v>-86.321735000497185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4.0843000000000034</v>
      </c>
      <c r="T708" s="304">
        <f t="shared" ref="T708:T771" ca="1" si="320">m*g</f>
        <v>40.066983000000036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1.2261112908581058</v>
      </c>
      <c r="W708" s="304">
        <f t="shared" ref="W708:W771" ca="1" si="323">1/2*Rho*Sref*Cx*vit_xz^2</f>
        <v>33.422733530770529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1.6065997947599175</v>
      </c>
      <c r="AH708" s="304">
        <f t="shared" ca="1" si="318"/>
        <v>-8.1831915765497811</v>
      </c>
    </row>
    <row r="709" spans="1:34" x14ac:dyDescent="0.2">
      <c r="A709" s="347">
        <f t="shared" ref="A709:A772" ca="1" si="325">IF(B708+0.01&lt;=T_ini+ROUNDUP(Temps_fin_propu,0), 0.01, IF(K708&gt;0, 0.1, 0.0001))</f>
        <v>1E-4</v>
      </c>
      <c r="B709" s="304">
        <f t="shared" ref="B709:B772" ca="1" si="326">B708+pas</f>
        <v>41.617500000000874</v>
      </c>
      <c r="D709" s="306">
        <f t="shared" ref="D709:D772" ca="1" si="327">IF(AND(L708&lt;L_rampe,Poussee&lt;Poids*SIN(M708)),0,(-W708+Poussee)/m*COS(M708)-U708/m*SIN(M708))</f>
        <v>-0.52498435253101061</v>
      </c>
      <c r="E709" s="307">
        <f t="shared" ref="E709:E772" ca="1" si="328">IF(AND(L708&lt;L_rampe,Poussee&lt;Poids*SIN(M708)),0,(-W708+Poussee)/m*SIN(M708)+U708/m*COS(M708)-Poids/m)</f>
        <v>-1.6436352399024354</v>
      </c>
      <c r="F709" s="304">
        <f t="shared" ref="F709:F772" ca="1" si="329">SQRT(acc_x^2+acc_z^2)</f>
        <v>1.7254406313320494</v>
      </c>
      <c r="G709" s="306">
        <f t="shared" ref="G709:G772" ca="1" si="330">G708+acc_x*pas</f>
        <v>8.7648887393915142</v>
      </c>
      <c r="H709" s="307">
        <f t="shared" ref="H709:H772" ca="1" si="331">H708+acc_z*pas</f>
        <v>-136.34271801075153</v>
      </c>
      <c r="I709" s="304">
        <f t="shared" ref="I709:I772" ca="1" si="332">SQRT(vit_x^2+vit_z^2)</f>
        <v>136.62415609683825</v>
      </c>
      <c r="J709" s="306">
        <f t="shared" ref="J709:J772" ca="1" si="333">J708+0.5*(vit_x+G708)*pas*(K708&gt;=0)</f>
        <v>712.18513894933824</v>
      </c>
      <c r="K709" s="307">
        <f t="shared" ref="K709:K772" ca="1" si="334">K708+0.5*(vit_z+H708)*pas</f>
        <v>-9.081283392777463</v>
      </c>
      <c r="L709" s="304">
        <f t="shared" ca="1" si="319"/>
        <v>712.24303566152764</v>
      </c>
      <c r="M709" s="306">
        <f t="shared" ref="M709:M772" ca="1" si="335">IF(AND(L708&gt;L_rampe,G709&gt;0),ATAN2(G709,H709),$M$4)</f>
        <v>-1.5065989524347143</v>
      </c>
      <c r="N709" s="304">
        <f t="shared" ref="N709:N772" ca="1" si="336">DEGREES(Beta)</f>
        <v>-86.321761393340196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4.0843000000000034</v>
      </c>
      <c r="T709" s="304">
        <f t="shared" ca="1" si="320"/>
        <v>40.066983000000036</v>
      </c>
      <c r="U709" s="311">
        <f t="shared" ca="1" si="321"/>
        <v>0</v>
      </c>
      <c r="V709" s="306">
        <f t="shared" ca="1" si="322"/>
        <v>1.2261129625720415</v>
      </c>
      <c r="W709" s="304">
        <f t="shared" ca="1" si="323"/>
        <v>33.42285770438928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1.606569681742215</v>
      </c>
      <c r="AH709" s="304">
        <f t="shared" ref="AH709:AH772" ca="1" si="347">IF(AND(L708&lt;L_rampe,Poussee&lt;Poids*SIN(M708)), g*SIN(M708), (-W708+Poussee)/m)</f>
        <v>-8.183221979475185</v>
      </c>
    </row>
    <row r="710" spans="1:34" x14ac:dyDescent="0.2">
      <c r="A710" s="347">
        <f t="shared" ca="1" si="325"/>
        <v>1E-4</v>
      </c>
      <c r="B710" s="304">
        <f t="shared" ca="1" si="326"/>
        <v>41.617600000000877</v>
      </c>
      <c r="D710" s="306">
        <f t="shared" ca="1" si="327"/>
        <v>-0.52498254119140619</v>
      </c>
      <c r="E710" s="307">
        <f t="shared" ca="1" si="328"/>
        <v>-1.6436046580327943</v>
      </c>
      <c r="F710" s="304">
        <f t="shared" ca="1" si="329"/>
        <v>1.725410948285331</v>
      </c>
      <c r="G710" s="306">
        <f t="shared" ca="1" si="330"/>
        <v>8.7648362411373952</v>
      </c>
      <c r="H710" s="307">
        <f t="shared" ca="1" si="331"/>
        <v>-136.34288237121734</v>
      </c>
      <c r="I710" s="304">
        <f t="shared" ca="1" si="332"/>
        <v>136.62431675080964</v>
      </c>
      <c r="J710" s="306">
        <f t="shared" ca="1" si="333"/>
        <v>712.18513894933824</v>
      </c>
      <c r="K710" s="307">
        <f t="shared" ca="1" si="334"/>
        <v>-9.0949176727965622</v>
      </c>
      <c r="L710" s="304">
        <f t="shared" ca="1" si="319"/>
        <v>712.24320963261084</v>
      </c>
      <c r="M710" s="306">
        <f t="shared" ca="1" si="335"/>
        <v>-1.5065994130728815</v>
      </c>
      <c r="N710" s="304">
        <f t="shared" ca="1" si="336"/>
        <v>-86.321787785963053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4.0843000000000034</v>
      </c>
      <c r="T710" s="304">
        <f t="shared" ca="1" si="320"/>
        <v>40.066983000000036</v>
      </c>
      <c r="U710" s="311">
        <f t="shared" ca="1" si="321"/>
        <v>0</v>
      </c>
      <c r="V710" s="306">
        <f t="shared" ca="1" si="322"/>
        <v>1.2261146342902729</v>
      </c>
      <c r="W710" s="304">
        <f t="shared" ca="1" si="323"/>
        <v>33.422981876958573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1.6065395689769719</v>
      </c>
      <c r="AH710" s="304">
        <f t="shared" ca="1" si="347"/>
        <v>-8.1832523821436354</v>
      </c>
    </row>
    <row r="711" spans="1:34" x14ac:dyDescent="0.2">
      <c r="A711" s="347">
        <f t="shared" ca="1" si="325"/>
        <v>1E-4</v>
      </c>
      <c r="B711" s="304">
        <f t="shared" ca="1" si="326"/>
        <v>41.61770000000088</v>
      </c>
      <c r="D711" s="306">
        <f t="shared" ca="1" si="327"/>
        <v>-0.5249807298386322</v>
      </c>
      <c r="E711" s="307">
        <f t="shared" ca="1" si="328"/>
        <v>-1.6435740764215243</v>
      </c>
      <c r="F711" s="304">
        <f t="shared" ca="1" si="329"/>
        <v>1.7253812655140224</v>
      </c>
      <c r="G711" s="306">
        <f t="shared" ca="1" si="330"/>
        <v>8.7647837430644113</v>
      </c>
      <c r="H711" s="307">
        <f t="shared" ca="1" si="331"/>
        <v>-136.34304672862498</v>
      </c>
      <c r="I711" s="304">
        <f t="shared" ca="1" si="332"/>
        <v>136.62447740176978</v>
      </c>
      <c r="J711" s="306">
        <f t="shared" ca="1" si="333"/>
        <v>712.18513894933824</v>
      </c>
      <c r="K711" s="307">
        <f t="shared" ca="1" si="334"/>
        <v>-9.108551969251554</v>
      </c>
      <c r="L711" s="304">
        <f t="shared" ca="1" si="319"/>
        <v>712.24338386485897</v>
      </c>
      <c r="M711" s="306">
        <f t="shared" ca="1" si="335"/>
        <v>-1.5065998737072062</v>
      </c>
      <c r="N711" s="304">
        <f t="shared" ca="1" si="336"/>
        <v>-86.321814178365756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4.0843000000000034</v>
      </c>
      <c r="T711" s="304">
        <f t="shared" ca="1" si="320"/>
        <v>40.066983000000036</v>
      </c>
      <c r="U711" s="311">
        <f t="shared" ca="1" si="321"/>
        <v>0</v>
      </c>
      <c r="V711" s="306">
        <f t="shared" ca="1" si="322"/>
        <v>1.2261163060128002</v>
      </c>
      <c r="W711" s="304">
        <f t="shared" ca="1" si="323"/>
        <v>33.423106048478431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1.6065094564641829</v>
      </c>
      <c r="AH711" s="304">
        <f t="shared" ca="1" si="347"/>
        <v>-8.1832827845551375</v>
      </c>
    </row>
    <row r="712" spans="1:34" x14ac:dyDescent="0.2">
      <c r="A712" s="347">
        <f t="shared" ca="1" si="325"/>
        <v>1E-4</v>
      </c>
      <c r="B712" s="304">
        <f t="shared" ca="1" si="326"/>
        <v>41.617800000000884</v>
      </c>
      <c r="D712" s="306">
        <f t="shared" ca="1" si="327"/>
        <v>-0.52497891847269118</v>
      </c>
      <c r="E712" s="307">
        <f t="shared" ca="1" si="328"/>
        <v>-1.6435434950686219</v>
      </c>
      <c r="F712" s="304">
        <f t="shared" ca="1" si="329"/>
        <v>1.7253515830181214</v>
      </c>
      <c r="G712" s="306">
        <f t="shared" ca="1" si="330"/>
        <v>8.7647312451725643</v>
      </c>
      <c r="H712" s="307">
        <f t="shared" ca="1" si="331"/>
        <v>-136.34321108297448</v>
      </c>
      <c r="I712" s="304">
        <f t="shared" ca="1" si="332"/>
        <v>136.62463804971867</v>
      </c>
      <c r="J712" s="306">
        <f t="shared" ca="1" si="333"/>
        <v>712.18513894933824</v>
      </c>
      <c r="K712" s="307">
        <f t="shared" ca="1" si="334"/>
        <v>-9.1221862821421347</v>
      </c>
      <c r="L712" s="304">
        <f t="shared" ca="1" si="319"/>
        <v>712.24355835827282</v>
      </c>
      <c r="M712" s="306">
        <f t="shared" ca="1" si="335"/>
        <v>-1.5066003343376886</v>
      </c>
      <c r="N712" s="304">
        <f t="shared" ca="1" si="336"/>
        <v>-86.321840570548318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4.0843000000000034</v>
      </c>
      <c r="T712" s="304">
        <f t="shared" ca="1" si="320"/>
        <v>40.066983000000036</v>
      </c>
      <c r="U712" s="311">
        <f t="shared" ca="1" si="321"/>
        <v>0</v>
      </c>
      <c r="V712" s="306">
        <f t="shared" ca="1" si="322"/>
        <v>1.2261179777396223</v>
      </c>
      <c r="W712" s="304">
        <f t="shared" ca="1" si="323"/>
        <v>33.423230218948802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1.6064793442038425</v>
      </c>
      <c r="AH712" s="304">
        <f t="shared" ca="1" si="347"/>
        <v>-8.1833131867096949</v>
      </c>
    </row>
    <row r="713" spans="1:34" x14ac:dyDescent="0.2">
      <c r="A713" s="347">
        <f t="shared" ca="1" si="325"/>
        <v>1E-4</v>
      </c>
      <c r="B713" s="304">
        <f t="shared" ca="1" si="326"/>
        <v>41.617900000000887</v>
      </c>
      <c r="D713" s="306">
        <f t="shared" ca="1" si="327"/>
        <v>-0.52497710709358147</v>
      </c>
      <c r="E713" s="307">
        <f t="shared" ca="1" si="328"/>
        <v>-1.6435129139741012</v>
      </c>
      <c r="F713" s="304">
        <f t="shared" ca="1" si="329"/>
        <v>1.7253219007976417</v>
      </c>
      <c r="G713" s="306">
        <f t="shared" ca="1" si="330"/>
        <v>8.7646787474618542</v>
      </c>
      <c r="H713" s="307">
        <f t="shared" ca="1" si="331"/>
        <v>-136.34337543426588</v>
      </c>
      <c r="I713" s="304">
        <f t="shared" ca="1" si="332"/>
        <v>136.62479869465642</v>
      </c>
      <c r="J713" s="306">
        <f t="shared" ca="1" si="333"/>
        <v>712.18513894933824</v>
      </c>
      <c r="K713" s="307">
        <f t="shared" ca="1" si="334"/>
        <v>-9.135820611467997</v>
      </c>
      <c r="L713" s="304">
        <f t="shared" ca="1" si="319"/>
        <v>712.24373311285308</v>
      </c>
      <c r="M713" s="306">
        <f t="shared" ca="1" si="335"/>
        <v>-1.5066007949643287</v>
      </c>
      <c r="N713" s="304">
        <f t="shared" ca="1" si="336"/>
        <v>-86.321866962510725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4.0843000000000034</v>
      </c>
      <c r="T713" s="304">
        <f t="shared" ca="1" si="320"/>
        <v>40.066983000000036</v>
      </c>
      <c r="U713" s="311">
        <f t="shared" ca="1" si="321"/>
        <v>0</v>
      </c>
      <c r="V713" s="306">
        <f t="shared" ca="1" si="322"/>
        <v>1.2261196494707405</v>
      </c>
      <c r="W713" s="304">
        <f t="shared" ca="1" si="323"/>
        <v>33.423354388369766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1.6064492321959634</v>
      </c>
      <c r="AH713" s="304">
        <f t="shared" ca="1" si="347"/>
        <v>-8.1833435886072952</v>
      </c>
    </row>
    <row r="714" spans="1:34" x14ac:dyDescent="0.2">
      <c r="A714" s="347">
        <f t="shared" ca="1" si="325"/>
        <v>1E-4</v>
      </c>
      <c r="B714" s="304">
        <f t="shared" ca="1" si="326"/>
        <v>41.61800000000089</v>
      </c>
      <c r="D714" s="306">
        <f t="shared" ca="1" si="327"/>
        <v>-0.52497529570130508</v>
      </c>
      <c r="E714" s="307">
        <f t="shared" ca="1" si="328"/>
        <v>-1.6434823331379409</v>
      </c>
      <c r="F714" s="304">
        <f t="shared" ca="1" si="329"/>
        <v>1.7252922188525637</v>
      </c>
      <c r="G714" s="306">
        <f t="shared" ca="1" si="330"/>
        <v>8.7646262499322845</v>
      </c>
      <c r="H714" s="307">
        <f t="shared" ca="1" si="331"/>
        <v>-136.34353978249919</v>
      </c>
      <c r="I714" s="304">
        <f t="shared" ca="1" si="332"/>
        <v>136.62495933658292</v>
      </c>
      <c r="J714" s="306">
        <f t="shared" ca="1" si="333"/>
        <v>712.18513894933824</v>
      </c>
      <c r="K714" s="307">
        <f t="shared" ca="1" si="334"/>
        <v>-9.1494549572288353</v>
      </c>
      <c r="L714" s="304">
        <f t="shared" ca="1" si="319"/>
        <v>712.24390812860065</v>
      </c>
      <c r="M714" s="306">
        <f t="shared" ca="1" si="335"/>
        <v>-1.5066012555871269</v>
      </c>
      <c r="N714" s="304">
        <f t="shared" ca="1" si="336"/>
        <v>-86.321893354253007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4.0843000000000034</v>
      </c>
      <c r="T714" s="304">
        <f t="shared" ca="1" si="320"/>
        <v>40.066983000000036</v>
      </c>
      <c r="U714" s="311">
        <f t="shared" ca="1" si="321"/>
        <v>0</v>
      </c>
      <c r="V714" s="306">
        <f t="shared" ca="1" si="322"/>
        <v>1.2261213212061539</v>
      </c>
      <c r="W714" s="304">
        <f t="shared" ca="1" si="323"/>
        <v>33.423478556741244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 t="e">
        <f t="shared" ca="1" si="344"/>
        <v>#N/A</v>
      </c>
      <c r="AD714" s="323" t="e">
        <f t="shared" ca="1" si="345"/>
        <v>#N/A</v>
      </c>
      <c r="AE714" s="324" t="e">
        <f t="shared" ca="1" si="324"/>
        <v>#N/A</v>
      </c>
      <c r="AG714" s="306">
        <f t="shared" ca="1" si="346"/>
        <v>1.6064191204405258</v>
      </c>
      <c r="AH714" s="304">
        <f t="shared" ca="1" si="347"/>
        <v>-8.1833739902479596</v>
      </c>
    </row>
    <row r="715" spans="1:34" x14ac:dyDescent="0.2">
      <c r="A715" s="347">
        <f t="shared" ca="1" si="325"/>
        <v>1E-4</v>
      </c>
      <c r="B715" s="304">
        <f t="shared" ca="1" si="326"/>
        <v>41.618100000000894</v>
      </c>
      <c r="D715" s="306">
        <f t="shared" ca="1" si="327"/>
        <v>-0.52497348429585944</v>
      </c>
      <c r="E715" s="307">
        <f t="shared" ca="1" si="328"/>
        <v>-1.6434517525601606</v>
      </c>
      <c r="F715" s="304">
        <f t="shared" ca="1" si="329"/>
        <v>1.7252625371829062</v>
      </c>
      <c r="G715" s="306">
        <f t="shared" ca="1" si="330"/>
        <v>8.7645737525838552</v>
      </c>
      <c r="H715" s="307">
        <f t="shared" ca="1" si="331"/>
        <v>-136.34370412767444</v>
      </c>
      <c r="I715" s="304">
        <f t="shared" ca="1" si="332"/>
        <v>136.62511997549834</v>
      </c>
      <c r="J715" s="306">
        <f t="shared" ca="1" si="333"/>
        <v>712.18513894933824</v>
      </c>
      <c r="K715" s="307">
        <f t="shared" ca="1" si="334"/>
        <v>-9.1630893194243441</v>
      </c>
      <c r="L715" s="304">
        <f t="shared" ca="1" si="319"/>
        <v>712.24408340551622</v>
      </c>
      <c r="M715" s="306">
        <f t="shared" ca="1" si="335"/>
        <v>-1.5066017162060827</v>
      </c>
      <c r="N715" s="304">
        <f t="shared" ca="1" si="336"/>
        <v>-86.321919745775148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4.0843000000000034</v>
      </c>
      <c r="T715" s="304">
        <f t="shared" ca="1" si="320"/>
        <v>40.066983000000036</v>
      </c>
      <c r="U715" s="311">
        <f t="shared" ca="1" si="321"/>
        <v>0</v>
      </c>
      <c r="V715" s="306">
        <f t="shared" ca="1" si="322"/>
        <v>1.2261229929458628</v>
      </c>
      <c r="W715" s="304">
        <f t="shared" ca="1" si="323"/>
        <v>33.423602724063301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1.6063890089375494</v>
      </c>
      <c r="AH715" s="304">
        <f t="shared" ca="1" si="347"/>
        <v>-8.183404391631667</v>
      </c>
    </row>
    <row r="716" spans="1:34" x14ac:dyDescent="0.2">
      <c r="A716" s="347">
        <f t="shared" ca="1" si="325"/>
        <v>1E-4</v>
      </c>
      <c r="B716" s="304">
        <f t="shared" ca="1" si="326"/>
        <v>41.618200000000897</v>
      </c>
      <c r="D716" s="306">
        <f t="shared" ca="1" si="327"/>
        <v>-0.52497167287724833</v>
      </c>
      <c r="E716" s="307">
        <f t="shared" ca="1" si="328"/>
        <v>-1.6434211722407444</v>
      </c>
      <c r="F716" s="304">
        <f t="shared" ca="1" si="329"/>
        <v>1.7252328557886552</v>
      </c>
      <c r="G716" s="306">
        <f t="shared" ca="1" si="330"/>
        <v>8.7645212554165681</v>
      </c>
      <c r="H716" s="307">
        <f t="shared" ca="1" si="331"/>
        <v>-136.34386846979166</v>
      </c>
      <c r="I716" s="304">
        <f t="shared" ca="1" si="332"/>
        <v>136.62528061140259</v>
      </c>
      <c r="J716" s="306">
        <f t="shared" ca="1" si="333"/>
        <v>712.18513894933824</v>
      </c>
      <c r="K716" s="307">
        <f t="shared" ca="1" si="334"/>
        <v>-9.1767236980542179</v>
      </c>
      <c r="L716" s="304">
        <f t="shared" ca="1" si="319"/>
        <v>712.24425894360047</v>
      </c>
      <c r="M716" s="306">
        <f t="shared" ca="1" si="335"/>
        <v>-1.5066021768211966</v>
      </c>
      <c r="N716" s="304">
        <f t="shared" ca="1" si="336"/>
        <v>-86.321946137077148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4.0843000000000034</v>
      </c>
      <c r="T716" s="304">
        <f t="shared" ca="1" si="320"/>
        <v>40.066983000000036</v>
      </c>
      <c r="U716" s="311">
        <f t="shared" ca="1" si="321"/>
        <v>0</v>
      </c>
      <c r="V716" s="306">
        <f t="shared" ca="1" si="322"/>
        <v>1.2261246646898676</v>
      </c>
      <c r="W716" s="304">
        <f t="shared" ca="1" si="323"/>
        <v>33.423726890335914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1.6063588976870165</v>
      </c>
      <c r="AH716" s="304">
        <f t="shared" ca="1" si="347"/>
        <v>-8.183434792758435</v>
      </c>
    </row>
    <row r="717" spans="1:34" x14ac:dyDescent="0.2">
      <c r="A717" s="347">
        <f t="shared" ca="1" si="325"/>
        <v>1E-4</v>
      </c>
      <c r="B717" s="304">
        <f t="shared" ca="1" si="326"/>
        <v>41.6183000000009</v>
      </c>
      <c r="D717" s="306">
        <f t="shared" ca="1" si="327"/>
        <v>-0.5249698614454702</v>
      </c>
      <c r="E717" s="307">
        <f t="shared" ca="1" si="328"/>
        <v>-1.6433905921796974</v>
      </c>
      <c r="F717" s="304">
        <f t="shared" ca="1" si="329"/>
        <v>1.7252031746698164</v>
      </c>
      <c r="G717" s="306">
        <f t="shared" ca="1" si="330"/>
        <v>8.7644687584304233</v>
      </c>
      <c r="H717" s="307">
        <f t="shared" ca="1" si="331"/>
        <v>-136.34403280885087</v>
      </c>
      <c r="I717" s="304">
        <f t="shared" ca="1" si="332"/>
        <v>136.62544124429573</v>
      </c>
      <c r="J717" s="306">
        <f t="shared" ca="1" si="333"/>
        <v>712.18513894933824</v>
      </c>
      <c r="K717" s="307">
        <f t="shared" ca="1" si="334"/>
        <v>-9.1903580931181494</v>
      </c>
      <c r="L717" s="304">
        <f t="shared" ca="1" si="319"/>
        <v>712.24443474285431</v>
      </c>
      <c r="M717" s="306">
        <f t="shared" ca="1" si="335"/>
        <v>-1.5066026374324684</v>
      </c>
      <c r="N717" s="304">
        <f t="shared" ca="1" si="336"/>
        <v>-86.321972528159009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4.0843000000000034</v>
      </c>
      <c r="T717" s="304">
        <f t="shared" ca="1" si="320"/>
        <v>40.066983000000036</v>
      </c>
      <c r="U717" s="311">
        <f t="shared" ca="1" si="321"/>
        <v>0</v>
      </c>
      <c r="V717" s="306">
        <f t="shared" ca="1" si="322"/>
        <v>1.2261263364381669</v>
      </c>
      <c r="W717" s="304">
        <f t="shared" ca="1" si="323"/>
        <v>33.423851055559055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1.6063287866889375</v>
      </c>
      <c r="AH717" s="304">
        <f t="shared" ca="1" si="347"/>
        <v>-8.1834651936282565</v>
      </c>
    </row>
    <row r="718" spans="1:34" x14ac:dyDescent="0.2">
      <c r="A718" s="347">
        <f t="shared" ca="1" si="325"/>
        <v>1E-4</v>
      </c>
      <c r="B718" s="304">
        <f t="shared" ca="1" si="326"/>
        <v>41.618400000000904</v>
      </c>
      <c r="D718" s="306">
        <f t="shared" ca="1" si="327"/>
        <v>-0.52496805000052515</v>
      </c>
      <c r="E718" s="307">
        <f t="shared" ca="1" si="328"/>
        <v>-1.6433600123770287</v>
      </c>
      <c r="F718" s="304">
        <f t="shared" ca="1" si="329"/>
        <v>1.7251734938263983</v>
      </c>
      <c r="G718" s="306">
        <f t="shared" ca="1" si="330"/>
        <v>8.7644162616254224</v>
      </c>
      <c r="H718" s="307">
        <f t="shared" ca="1" si="331"/>
        <v>-136.3441971448521</v>
      </c>
      <c r="I718" s="304">
        <f t="shared" ca="1" si="332"/>
        <v>136.62560187417782</v>
      </c>
      <c r="J718" s="306">
        <f t="shared" ca="1" si="333"/>
        <v>712.18513894933824</v>
      </c>
      <c r="K718" s="307">
        <f t="shared" ca="1" si="334"/>
        <v>-9.2039925046158348</v>
      </c>
      <c r="L718" s="304">
        <f t="shared" ca="1" si="319"/>
        <v>712.24461080327819</v>
      </c>
      <c r="M718" s="306">
        <f t="shared" ca="1" si="335"/>
        <v>-1.5066030980398981</v>
      </c>
      <c r="N718" s="304">
        <f t="shared" ca="1" si="336"/>
        <v>-86.321998919020757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4.0843000000000034</v>
      </c>
      <c r="T718" s="304">
        <f t="shared" ca="1" si="320"/>
        <v>40.066983000000036</v>
      </c>
      <c r="U718" s="311">
        <f t="shared" ca="1" si="321"/>
        <v>0</v>
      </c>
      <c r="V718" s="306">
        <f t="shared" ca="1" si="322"/>
        <v>1.2261280081907622</v>
      </c>
      <c r="W718" s="304">
        <f t="shared" ca="1" si="323"/>
        <v>33.423975219732768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1.6062986759433144</v>
      </c>
      <c r="AH718" s="304">
        <f t="shared" ca="1" si="347"/>
        <v>-8.1834955942411245</v>
      </c>
    </row>
    <row r="719" spans="1:34" x14ac:dyDescent="0.2">
      <c r="A719" s="347">
        <f t="shared" ca="1" si="325"/>
        <v>1E-4</v>
      </c>
      <c r="B719" s="304">
        <f t="shared" ca="1" si="326"/>
        <v>41.618500000000907</v>
      </c>
      <c r="D719" s="306">
        <f t="shared" ca="1" si="327"/>
        <v>-0.52496623854241486</v>
      </c>
      <c r="E719" s="307">
        <f t="shared" ca="1" si="328"/>
        <v>-1.6433294328327239</v>
      </c>
      <c r="F719" s="304">
        <f t="shared" ca="1" si="329"/>
        <v>1.7251438132583885</v>
      </c>
      <c r="G719" s="306">
        <f t="shared" ca="1" si="330"/>
        <v>8.7643637650015673</v>
      </c>
      <c r="H719" s="307">
        <f t="shared" ca="1" si="331"/>
        <v>-136.34436147779539</v>
      </c>
      <c r="I719" s="304">
        <f t="shared" ca="1" si="332"/>
        <v>136.62576250104885</v>
      </c>
      <c r="J719" s="306">
        <f t="shared" ca="1" si="333"/>
        <v>712.18513894933824</v>
      </c>
      <c r="K719" s="307">
        <f t="shared" ca="1" si="334"/>
        <v>-9.2176269325469669</v>
      </c>
      <c r="L719" s="304">
        <f t="shared" ca="1" si="319"/>
        <v>712.24478712487314</v>
      </c>
      <c r="M719" s="306">
        <f t="shared" ca="1" si="335"/>
        <v>-1.5066035586434858</v>
      </c>
      <c r="N719" s="304">
        <f t="shared" ca="1" si="336"/>
        <v>-86.322025309662351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4.0843000000000034</v>
      </c>
      <c r="T719" s="304">
        <f t="shared" ca="1" si="320"/>
        <v>40.066983000000036</v>
      </c>
      <c r="U719" s="311">
        <f t="shared" ca="1" si="321"/>
        <v>0</v>
      </c>
      <c r="V719" s="306">
        <f t="shared" ca="1" si="322"/>
        <v>1.2261296799476527</v>
      </c>
      <c r="W719" s="304">
        <f t="shared" ca="1" si="323"/>
        <v>33.424099382857037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1.6062685654501401</v>
      </c>
      <c r="AH719" s="304">
        <f t="shared" ca="1" si="347"/>
        <v>-8.1835259945970513</v>
      </c>
    </row>
    <row r="720" spans="1:34" x14ac:dyDescent="0.2">
      <c r="A720" s="347">
        <f t="shared" ca="1" si="325"/>
        <v>1E-4</v>
      </c>
      <c r="B720" s="304">
        <f t="shared" ca="1" si="326"/>
        <v>41.61860000000091</v>
      </c>
      <c r="D720" s="306">
        <f t="shared" ca="1" si="327"/>
        <v>-0.52496442707113977</v>
      </c>
      <c r="E720" s="307">
        <f t="shared" ca="1" si="328"/>
        <v>-1.6432988535467885</v>
      </c>
      <c r="F720" s="304">
        <f t="shared" ca="1" si="329"/>
        <v>1.7251141329657929</v>
      </c>
      <c r="G720" s="306">
        <f t="shared" ca="1" si="330"/>
        <v>8.7643112685588598</v>
      </c>
      <c r="H720" s="307">
        <f t="shared" ca="1" si="331"/>
        <v>-136.34452580768075</v>
      </c>
      <c r="I720" s="304">
        <f t="shared" ca="1" si="332"/>
        <v>136.62592312490887</v>
      </c>
      <c r="J720" s="306">
        <f t="shared" ca="1" si="333"/>
        <v>712.18513894933824</v>
      </c>
      <c r="K720" s="307">
        <f t="shared" ca="1" si="334"/>
        <v>-9.2312613769112399</v>
      </c>
      <c r="L720" s="304">
        <f t="shared" ca="1" si="319"/>
        <v>712.24496370763973</v>
      </c>
      <c r="M720" s="306">
        <f t="shared" ca="1" si="335"/>
        <v>-1.5066040192432317</v>
      </c>
      <c r="N720" s="304">
        <f t="shared" ca="1" si="336"/>
        <v>-86.322051700083847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4.0843000000000034</v>
      </c>
      <c r="T720" s="304">
        <f t="shared" ca="1" si="320"/>
        <v>40.066983000000036</v>
      </c>
      <c r="U720" s="311">
        <f t="shared" ca="1" si="321"/>
        <v>0</v>
      </c>
      <c r="V720" s="306">
        <f t="shared" ca="1" si="322"/>
        <v>1.2261313517088384</v>
      </c>
      <c r="W720" s="304">
        <f t="shared" ca="1" si="323"/>
        <v>33.42422354493187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1.6062384552094144</v>
      </c>
      <c r="AH720" s="304">
        <f t="shared" ca="1" si="347"/>
        <v>-8.1835563946960335</v>
      </c>
    </row>
    <row r="721" spans="1:34" x14ac:dyDescent="0.2">
      <c r="A721" s="347">
        <f t="shared" ca="1" si="325"/>
        <v>1E-4</v>
      </c>
      <c r="B721" s="304">
        <f t="shared" ca="1" si="326"/>
        <v>41.618700000000914</v>
      </c>
      <c r="D721" s="306">
        <f t="shared" ca="1" si="327"/>
        <v>-0.52496261558669854</v>
      </c>
      <c r="E721" s="307">
        <f t="shared" ca="1" si="328"/>
        <v>-1.6432682745192206</v>
      </c>
      <c r="F721" s="304">
        <f t="shared" ca="1" si="329"/>
        <v>1.7250844529486098</v>
      </c>
      <c r="G721" s="306">
        <f t="shared" ca="1" si="330"/>
        <v>8.7642587722973015</v>
      </c>
      <c r="H721" s="307">
        <f t="shared" ca="1" si="331"/>
        <v>-136.3446901345082</v>
      </c>
      <c r="I721" s="304">
        <f t="shared" ca="1" si="332"/>
        <v>136.62608374575788</v>
      </c>
      <c r="J721" s="306">
        <f t="shared" ca="1" si="333"/>
        <v>712.18513894933824</v>
      </c>
      <c r="K721" s="307">
        <f t="shared" ca="1" si="334"/>
        <v>-9.2448958377083486</v>
      </c>
      <c r="L721" s="304">
        <f t="shared" ca="1" si="319"/>
        <v>712.24514055157886</v>
      </c>
      <c r="M721" s="306">
        <f t="shared" ca="1" si="335"/>
        <v>-1.5066044798391356</v>
      </c>
      <c r="N721" s="304">
        <f t="shared" ca="1" si="336"/>
        <v>-86.322078090285189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4.0843000000000034</v>
      </c>
      <c r="T721" s="304">
        <f t="shared" ca="1" si="320"/>
        <v>40.066983000000036</v>
      </c>
      <c r="U721" s="311">
        <f t="shared" ca="1" si="321"/>
        <v>0</v>
      </c>
      <c r="V721" s="306">
        <f t="shared" ca="1" si="322"/>
        <v>1.2261330234743195</v>
      </c>
      <c r="W721" s="304">
        <f t="shared" ca="1" si="323"/>
        <v>33.424347705957274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1.6062083452211375</v>
      </c>
      <c r="AH721" s="304">
        <f t="shared" ca="1" si="347"/>
        <v>-8.1835867945380709</v>
      </c>
    </row>
    <row r="722" spans="1:34" x14ac:dyDescent="0.2">
      <c r="A722" s="347">
        <f t="shared" ca="1" si="325"/>
        <v>1E-4</v>
      </c>
      <c r="B722" s="304">
        <f t="shared" ca="1" si="326"/>
        <v>41.618800000000917</v>
      </c>
      <c r="D722" s="306">
        <f t="shared" ca="1" si="327"/>
        <v>-0.52496080408909418</v>
      </c>
      <c r="E722" s="307">
        <f t="shared" ca="1" si="328"/>
        <v>-1.6432376957500203</v>
      </c>
      <c r="F722" s="304">
        <f t="shared" ca="1" si="329"/>
        <v>1.7250547732068409</v>
      </c>
      <c r="G722" s="306">
        <f t="shared" ca="1" si="330"/>
        <v>8.7642062762168926</v>
      </c>
      <c r="H722" s="307">
        <f t="shared" ca="1" si="331"/>
        <v>-136.34485445827778</v>
      </c>
      <c r="I722" s="304">
        <f t="shared" ca="1" si="332"/>
        <v>136.62624436359593</v>
      </c>
      <c r="J722" s="306">
        <f t="shared" ca="1" si="333"/>
        <v>712.18513894933824</v>
      </c>
      <c r="K722" s="307">
        <f t="shared" ca="1" si="334"/>
        <v>-9.2585303149379872</v>
      </c>
      <c r="L722" s="304">
        <f t="shared" ca="1" si="319"/>
        <v>712.2453176566911</v>
      </c>
      <c r="M722" s="306">
        <f t="shared" ca="1" si="335"/>
        <v>-1.5066049404311976</v>
      </c>
      <c r="N722" s="304">
        <f t="shared" ca="1" si="336"/>
        <v>-86.322104480266432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4.0843000000000034</v>
      </c>
      <c r="T722" s="304">
        <f t="shared" ca="1" si="320"/>
        <v>40.066983000000036</v>
      </c>
      <c r="U722" s="311">
        <f t="shared" ca="1" si="321"/>
        <v>0</v>
      </c>
      <c r="V722" s="306">
        <f t="shared" ca="1" si="322"/>
        <v>1.2261346952440959</v>
      </c>
      <c r="W722" s="304">
        <f t="shared" ca="1" si="323"/>
        <v>33.424471865933242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1.6061782354853111</v>
      </c>
      <c r="AH722" s="304">
        <f t="shared" ca="1" si="347"/>
        <v>-8.1836171941231655</v>
      </c>
    </row>
    <row r="723" spans="1:34" x14ac:dyDescent="0.2">
      <c r="A723" s="347">
        <f t="shared" ca="1" si="325"/>
        <v>1E-4</v>
      </c>
      <c r="B723" s="304">
        <f t="shared" ca="1" si="326"/>
        <v>41.61890000000092</v>
      </c>
      <c r="D723" s="306">
        <f t="shared" ca="1" si="327"/>
        <v>-0.52495899257832523</v>
      </c>
      <c r="E723" s="307">
        <f t="shared" ca="1" si="328"/>
        <v>-1.6432071172391858</v>
      </c>
      <c r="F723" s="304">
        <f t="shared" ca="1" si="329"/>
        <v>1.7250250937404839</v>
      </c>
      <c r="G723" s="306">
        <f t="shared" ca="1" si="330"/>
        <v>8.7641537803176348</v>
      </c>
      <c r="H723" s="307">
        <f t="shared" ca="1" si="331"/>
        <v>-136.3450187789895</v>
      </c>
      <c r="I723" s="304">
        <f t="shared" ca="1" si="332"/>
        <v>136.62640497842301</v>
      </c>
      <c r="J723" s="306">
        <f t="shared" ca="1" si="333"/>
        <v>712.18513894933824</v>
      </c>
      <c r="K723" s="307">
        <f t="shared" ca="1" si="334"/>
        <v>-9.2721648085998503</v>
      </c>
      <c r="L723" s="304">
        <f t="shared" ca="1" si="319"/>
        <v>712.24549502297737</v>
      </c>
      <c r="M723" s="306">
        <f t="shared" ca="1" si="335"/>
        <v>-1.5066054010194181</v>
      </c>
      <c r="N723" s="304">
        <f t="shared" ca="1" si="336"/>
        <v>-86.32213087002755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4.0843000000000034</v>
      </c>
      <c r="T723" s="304">
        <f t="shared" ca="1" si="320"/>
        <v>40.066983000000036</v>
      </c>
      <c r="U723" s="311">
        <f t="shared" ca="1" si="321"/>
        <v>0</v>
      </c>
      <c r="V723" s="306">
        <f t="shared" ca="1" si="322"/>
        <v>1.2261363670181675</v>
      </c>
      <c r="W723" s="304">
        <f t="shared" ca="1" si="323"/>
        <v>33.424596024859774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1.6061481260019317</v>
      </c>
      <c r="AH723" s="304">
        <f t="shared" ca="1" si="347"/>
        <v>-8.1836475934513171</v>
      </c>
    </row>
    <row r="724" spans="1:34" x14ac:dyDescent="0.2">
      <c r="A724" s="347">
        <f t="shared" ca="1" si="325"/>
        <v>1E-4</v>
      </c>
      <c r="B724" s="304">
        <f t="shared" ca="1" si="326"/>
        <v>41.619000000000923</v>
      </c>
      <c r="D724" s="306">
        <f t="shared" ca="1" si="327"/>
        <v>-0.52495718105439071</v>
      </c>
      <c r="E724" s="307">
        <f t="shared" ca="1" si="328"/>
        <v>-1.6431765389867206</v>
      </c>
      <c r="F724" s="304">
        <f t="shared" ca="1" si="329"/>
        <v>1.7249954145495432</v>
      </c>
      <c r="G724" s="306">
        <f t="shared" ca="1" si="330"/>
        <v>8.7641012845995299</v>
      </c>
      <c r="H724" s="307">
        <f t="shared" ca="1" si="331"/>
        <v>-136.34518309664341</v>
      </c>
      <c r="I724" s="304">
        <f t="shared" ca="1" si="332"/>
        <v>136.62656559023921</v>
      </c>
      <c r="J724" s="306">
        <f t="shared" ca="1" si="333"/>
        <v>712.18513894933824</v>
      </c>
      <c r="K724" s="307">
        <f t="shared" ca="1" si="334"/>
        <v>-9.2857993186936323</v>
      </c>
      <c r="L724" s="304">
        <f t="shared" ca="1" si="319"/>
        <v>712.24567265043822</v>
      </c>
      <c r="M724" s="306">
        <f t="shared" ca="1" si="335"/>
        <v>-1.5066058616037967</v>
      </c>
      <c r="N724" s="304">
        <f t="shared" ca="1" si="336"/>
        <v>-86.322157259568556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4.0843000000000034</v>
      </c>
      <c r="T724" s="304">
        <f t="shared" ca="1" si="320"/>
        <v>40.066983000000036</v>
      </c>
      <c r="U724" s="311">
        <f t="shared" ca="1" si="321"/>
        <v>0</v>
      </c>
      <c r="V724" s="306">
        <f t="shared" ca="1" si="322"/>
        <v>1.2261380387965344</v>
      </c>
      <c r="W724" s="304">
        <f t="shared" ca="1" si="323"/>
        <v>33.424720182736877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 t="e">
        <f t="shared" ca="1" si="344"/>
        <v>#N/A</v>
      </c>
      <c r="AD724" s="323" t="e">
        <f t="shared" ca="1" si="345"/>
        <v>#N/A</v>
      </c>
      <c r="AE724" s="324" t="e">
        <f t="shared" ca="1" si="324"/>
        <v>#N/A</v>
      </c>
      <c r="AG724" s="306">
        <f t="shared" ca="1" si="346"/>
        <v>1.6061180167710045</v>
      </c>
      <c r="AH724" s="304">
        <f t="shared" ca="1" si="347"/>
        <v>-8.183677992522524</v>
      </c>
    </row>
    <row r="725" spans="1:34" x14ac:dyDescent="0.2">
      <c r="A725" s="347">
        <f t="shared" ca="1" si="325"/>
        <v>1E-4</v>
      </c>
      <c r="B725" s="304">
        <f t="shared" ca="1" si="326"/>
        <v>41.619100000000927</v>
      </c>
      <c r="D725" s="306">
        <f t="shared" ca="1" si="327"/>
        <v>-0.52495536951729338</v>
      </c>
      <c r="E725" s="307">
        <f t="shared" ca="1" si="328"/>
        <v>-1.6431459609926211</v>
      </c>
      <c r="F725" s="304">
        <f t="shared" ca="1" si="329"/>
        <v>1.7249657356340162</v>
      </c>
      <c r="G725" s="306">
        <f t="shared" ca="1" si="330"/>
        <v>8.7640487890625778</v>
      </c>
      <c r="H725" s="307">
        <f t="shared" ca="1" si="331"/>
        <v>-136.34534741123952</v>
      </c>
      <c r="I725" s="304">
        <f t="shared" ca="1" si="332"/>
        <v>136.62672619904447</v>
      </c>
      <c r="J725" s="306">
        <f t="shared" ca="1" si="333"/>
        <v>712.18513894933824</v>
      </c>
      <c r="K725" s="307">
        <f t="shared" ca="1" si="334"/>
        <v>-9.2994338452190259</v>
      </c>
      <c r="L725" s="304">
        <f t="shared" ca="1" si="319"/>
        <v>712.24585053907458</v>
      </c>
      <c r="M725" s="306">
        <f t="shared" ca="1" si="335"/>
        <v>-1.5066063221843338</v>
      </c>
      <c r="N725" s="304">
        <f t="shared" ca="1" si="336"/>
        <v>-86.32218364888945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4.0843000000000034</v>
      </c>
      <c r="T725" s="304">
        <f t="shared" ca="1" si="320"/>
        <v>40.066983000000036</v>
      </c>
      <c r="U725" s="311">
        <f t="shared" ca="1" si="321"/>
        <v>0</v>
      </c>
      <c r="V725" s="306">
        <f t="shared" ca="1" si="322"/>
        <v>1.2261397105791962</v>
      </c>
      <c r="W725" s="304">
        <f t="shared" ca="1" si="323"/>
        <v>33.424844339564537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1.6060879077925225</v>
      </c>
      <c r="AH725" s="304">
        <f t="shared" ca="1" si="347"/>
        <v>-8.1837083913367898</v>
      </c>
    </row>
    <row r="726" spans="1:34" x14ac:dyDescent="0.2">
      <c r="A726" s="347">
        <f t="shared" ca="1" si="325"/>
        <v>1E-4</v>
      </c>
      <c r="B726" s="304">
        <f t="shared" ca="1" si="326"/>
        <v>41.61920000000093</v>
      </c>
      <c r="D726" s="306">
        <f t="shared" ca="1" si="327"/>
        <v>-0.52495355796703158</v>
      </c>
      <c r="E726" s="307">
        <f t="shared" ca="1" si="328"/>
        <v>-1.643115383256891</v>
      </c>
      <c r="F726" s="304">
        <f t="shared" ca="1" si="329"/>
        <v>1.7249360569939065</v>
      </c>
      <c r="G726" s="306">
        <f t="shared" ca="1" si="330"/>
        <v>8.7639962937067803</v>
      </c>
      <c r="H726" s="307">
        <f t="shared" ca="1" si="331"/>
        <v>-136.34551172277784</v>
      </c>
      <c r="I726" s="304">
        <f t="shared" ca="1" si="332"/>
        <v>136.62688680483888</v>
      </c>
      <c r="J726" s="306">
        <f t="shared" ca="1" si="333"/>
        <v>712.18513894933824</v>
      </c>
      <c r="K726" s="307">
        <f t="shared" ca="1" si="334"/>
        <v>-9.3130683881757275</v>
      </c>
      <c r="L726" s="304">
        <f t="shared" ca="1" si="319"/>
        <v>712.24602868888712</v>
      </c>
      <c r="M726" s="306">
        <f t="shared" ca="1" si="335"/>
        <v>-1.506606782761029</v>
      </c>
      <c r="N726" s="304">
        <f t="shared" ca="1" si="336"/>
        <v>-86.322210037990232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4.0843000000000034</v>
      </c>
      <c r="T726" s="304">
        <f t="shared" ca="1" si="320"/>
        <v>40.066983000000036</v>
      </c>
      <c r="U726" s="311">
        <f t="shared" ca="1" si="321"/>
        <v>0</v>
      </c>
      <c r="V726" s="306">
        <f t="shared" ca="1" si="322"/>
        <v>1.2261413823661531</v>
      </c>
      <c r="W726" s="304">
        <f t="shared" ca="1" si="323"/>
        <v>33.424968495342767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1.6060577990664928</v>
      </c>
      <c r="AH726" s="304">
        <f t="shared" ca="1" si="347"/>
        <v>-8.1837387898941092</v>
      </c>
    </row>
    <row r="727" spans="1:34" x14ac:dyDescent="0.2">
      <c r="A727" s="347">
        <f t="shared" ca="1" si="325"/>
        <v>1E-4</v>
      </c>
      <c r="B727" s="304">
        <f t="shared" ca="1" si="326"/>
        <v>41.619300000000933</v>
      </c>
      <c r="D727" s="306">
        <f t="shared" ca="1" si="327"/>
        <v>-0.5249517464036082</v>
      </c>
      <c r="E727" s="307">
        <f t="shared" ca="1" si="328"/>
        <v>-1.6430848057795284</v>
      </c>
      <c r="F727" s="304">
        <f t="shared" ca="1" si="329"/>
        <v>1.7249063786292138</v>
      </c>
      <c r="G727" s="306">
        <f t="shared" ca="1" si="330"/>
        <v>8.7639437985321393</v>
      </c>
      <c r="H727" s="307">
        <f t="shared" ca="1" si="331"/>
        <v>-136.34567603125842</v>
      </c>
      <c r="I727" s="304">
        <f t="shared" ca="1" si="332"/>
        <v>136.62704740762243</v>
      </c>
      <c r="J727" s="306">
        <f t="shared" ca="1" si="333"/>
        <v>712.18513894933824</v>
      </c>
      <c r="K727" s="307">
        <f t="shared" ca="1" si="334"/>
        <v>-9.3267029475634295</v>
      </c>
      <c r="L727" s="304">
        <f t="shared" ca="1" si="319"/>
        <v>712.24620709987664</v>
      </c>
      <c r="M727" s="306">
        <f t="shared" ca="1" si="335"/>
        <v>-1.5066072433338829</v>
      </c>
      <c r="N727" s="304">
        <f t="shared" ca="1" si="336"/>
        <v>-86.322236426870916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4.0843000000000034</v>
      </c>
      <c r="T727" s="304">
        <f t="shared" ca="1" si="320"/>
        <v>40.066983000000036</v>
      </c>
      <c r="U727" s="311">
        <f t="shared" ca="1" si="321"/>
        <v>0</v>
      </c>
      <c r="V727" s="306">
        <f t="shared" ca="1" si="322"/>
        <v>1.2261430541574057</v>
      </c>
      <c r="W727" s="304">
        <f t="shared" ca="1" si="323"/>
        <v>33.425092650071583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1.6060276905929118</v>
      </c>
      <c r="AH727" s="304">
        <f t="shared" ca="1" si="347"/>
        <v>-8.1837691881944856</v>
      </c>
    </row>
    <row r="728" spans="1:34" x14ac:dyDescent="0.2">
      <c r="A728" s="347">
        <f t="shared" ca="1" si="325"/>
        <v>1E-4</v>
      </c>
      <c r="B728" s="304">
        <f t="shared" ca="1" si="326"/>
        <v>41.619400000000937</v>
      </c>
      <c r="D728" s="306">
        <f t="shared" ca="1" si="327"/>
        <v>-0.52494993482702079</v>
      </c>
      <c r="E728" s="307">
        <f t="shared" ca="1" si="328"/>
        <v>-1.6430542285605245</v>
      </c>
      <c r="F728" s="304">
        <f t="shared" ca="1" si="329"/>
        <v>1.7248767005399295</v>
      </c>
      <c r="G728" s="306">
        <f t="shared" ca="1" si="330"/>
        <v>8.7638913035386565</v>
      </c>
      <c r="H728" s="307">
        <f t="shared" ca="1" si="331"/>
        <v>-136.34584033668128</v>
      </c>
      <c r="I728" s="304">
        <f t="shared" ca="1" si="332"/>
        <v>136.62720800739515</v>
      </c>
      <c r="J728" s="306">
        <f t="shared" ca="1" si="333"/>
        <v>712.18513894933824</v>
      </c>
      <c r="K728" s="307">
        <f t="shared" ca="1" si="334"/>
        <v>-9.3403375233818267</v>
      </c>
      <c r="L728" s="304">
        <f t="shared" ca="1" si="319"/>
        <v>712.24638577204371</v>
      </c>
      <c r="M728" s="306">
        <f t="shared" ca="1" si="335"/>
        <v>-1.5066077039028949</v>
      </c>
      <c r="N728" s="304">
        <f t="shared" ca="1" si="336"/>
        <v>-86.322262815531488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4.0843000000000034</v>
      </c>
      <c r="T728" s="304">
        <f t="shared" ca="1" si="320"/>
        <v>40.066983000000036</v>
      </c>
      <c r="U728" s="311">
        <f t="shared" ca="1" si="321"/>
        <v>0</v>
      </c>
      <c r="V728" s="306">
        <f t="shared" ca="1" si="322"/>
        <v>1.2261447259529532</v>
      </c>
      <c r="W728" s="304">
        <f t="shared" ca="1" si="323"/>
        <v>33.425216803750963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1.605997582371776</v>
      </c>
      <c r="AH728" s="304">
        <f t="shared" ca="1" si="347"/>
        <v>-8.1837995862379245</v>
      </c>
    </row>
    <row r="729" spans="1:34" x14ac:dyDescent="0.2">
      <c r="A729" s="347">
        <f t="shared" ca="1" si="325"/>
        <v>1E-4</v>
      </c>
      <c r="B729" s="304">
        <f t="shared" ca="1" si="326"/>
        <v>41.61950000000094</v>
      </c>
      <c r="D729" s="306">
        <f t="shared" ca="1" si="327"/>
        <v>-0.52494812323727291</v>
      </c>
      <c r="E729" s="307">
        <f t="shared" ca="1" si="328"/>
        <v>-1.6430236515998917</v>
      </c>
      <c r="F729" s="304">
        <f t="shared" ca="1" si="329"/>
        <v>1.724847022726067</v>
      </c>
      <c r="G729" s="306">
        <f t="shared" ca="1" si="330"/>
        <v>8.7638388087263319</v>
      </c>
      <c r="H729" s="307">
        <f t="shared" ca="1" si="331"/>
        <v>-136.34600463904644</v>
      </c>
      <c r="I729" s="304">
        <f t="shared" ca="1" si="332"/>
        <v>136.62736860415708</v>
      </c>
      <c r="J729" s="306">
        <f t="shared" ca="1" si="333"/>
        <v>712.18513894933824</v>
      </c>
      <c r="K729" s="307">
        <f t="shared" ca="1" si="334"/>
        <v>-9.3539721156306133</v>
      </c>
      <c r="L729" s="304">
        <f t="shared" ca="1" si="319"/>
        <v>712.24656470538923</v>
      </c>
      <c r="M729" s="306">
        <f t="shared" ca="1" si="335"/>
        <v>-1.5066081644680656</v>
      </c>
      <c r="N729" s="304">
        <f t="shared" ca="1" si="336"/>
        <v>-86.322289203971948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4.0843000000000034</v>
      </c>
      <c r="T729" s="304">
        <f t="shared" ca="1" si="320"/>
        <v>40.066983000000036</v>
      </c>
      <c r="U729" s="311">
        <f t="shared" ca="1" si="321"/>
        <v>0</v>
      </c>
      <c r="V729" s="306">
        <f t="shared" ca="1" si="322"/>
        <v>1.2261463977527955</v>
      </c>
      <c r="W729" s="304">
        <f t="shared" ca="1" si="323"/>
        <v>33.425340956380921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1.605967474403089</v>
      </c>
      <c r="AH729" s="304">
        <f t="shared" ca="1" si="347"/>
        <v>-8.1838299840244186</v>
      </c>
    </row>
    <row r="730" spans="1:34" x14ac:dyDescent="0.2">
      <c r="A730" s="347">
        <f t="shared" ca="1" si="325"/>
        <v>1E-4</v>
      </c>
      <c r="B730" s="304">
        <f t="shared" ca="1" si="326"/>
        <v>41.619600000000943</v>
      </c>
      <c r="D730" s="306">
        <f t="shared" ca="1" si="327"/>
        <v>-0.52494631163436212</v>
      </c>
      <c r="E730" s="307">
        <f t="shared" ca="1" si="328"/>
        <v>-1.6429930748976211</v>
      </c>
      <c r="F730" s="304">
        <f t="shared" ca="1" si="329"/>
        <v>1.7248173451876174</v>
      </c>
      <c r="G730" s="306">
        <f t="shared" ca="1" si="330"/>
        <v>8.7637863140951691</v>
      </c>
      <c r="H730" s="307">
        <f t="shared" ca="1" si="331"/>
        <v>-136.34616893835394</v>
      </c>
      <c r="I730" s="304">
        <f t="shared" ca="1" si="332"/>
        <v>136.62752919790827</v>
      </c>
      <c r="J730" s="306">
        <f t="shared" ca="1" si="333"/>
        <v>712.18513894933824</v>
      </c>
      <c r="K730" s="307">
        <f t="shared" ca="1" si="334"/>
        <v>-9.3676067243094838</v>
      </c>
      <c r="L730" s="304">
        <f t="shared" ca="1" si="319"/>
        <v>712.24674389991389</v>
      </c>
      <c r="M730" s="306">
        <f t="shared" ca="1" si="335"/>
        <v>-1.5066086250293949</v>
      </c>
      <c r="N730" s="304">
        <f t="shared" ca="1" si="336"/>
        <v>-86.322315592192325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4.0843000000000034</v>
      </c>
      <c r="T730" s="304">
        <f t="shared" ca="1" si="320"/>
        <v>40.066983000000036</v>
      </c>
      <c r="U730" s="311">
        <f t="shared" ca="1" si="321"/>
        <v>0</v>
      </c>
      <c r="V730" s="306">
        <f t="shared" ca="1" si="322"/>
        <v>1.2261480695569331</v>
      </c>
      <c r="W730" s="304">
        <f t="shared" ca="1" si="323"/>
        <v>33.425465107961465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1.6059373666868471</v>
      </c>
      <c r="AH730" s="304">
        <f t="shared" ca="1" si="347"/>
        <v>-8.1838603815539734</v>
      </c>
    </row>
    <row r="731" spans="1:34" x14ac:dyDescent="0.2">
      <c r="A731" s="347">
        <f t="shared" ca="1" si="325"/>
        <v>1E-4</v>
      </c>
      <c r="B731" s="304">
        <f t="shared" ca="1" si="326"/>
        <v>41.619700000000947</v>
      </c>
      <c r="D731" s="306">
        <f t="shared" ca="1" si="327"/>
        <v>-0.5249445000182893</v>
      </c>
      <c r="E731" s="307">
        <f t="shared" ca="1" si="328"/>
        <v>-1.6429624984537128</v>
      </c>
      <c r="F731" s="304">
        <f t="shared" ca="1" si="329"/>
        <v>1.7247876679245819</v>
      </c>
      <c r="G731" s="306">
        <f t="shared" ca="1" si="330"/>
        <v>8.763733819645168</v>
      </c>
      <c r="H731" s="307">
        <f t="shared" ca="1" si="331"/>
        <v>-136.34633323460378</v>
      </c>
      <c r="I731" s="304">
        <f t="shared" ca="1" si="332"/>
        <v>136.62768978864867</v>
      </c>
      <c r="J731" s="306">
        <f t="shared" ca="1" si="333"/>
        <v>712.18513894933824</v>
      </c>
      <c r="K731" s="307">
        <f t="shared" ca="1" si="334"/>
        <v>-9.381241349418131</v>
      </c>
      <c r="L731" s="304">
        <f t="shared" ca="1" si="319"/>
        <v>712.24692335561849</v>
      </c>
      <c r="M731" s="306">
        <f t="shared" ca="1" si="335"/>
        <v>-1.5066090855868828</v>
      </c>
      <c r="N731" s="304">
        <f t="shared" ca="1" si="336"/>
        <v>-86.322341980192604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4.0843000000000034</v>
      </c>
      <c r="T731" s="304">
        <f t="shared" ca="1" si="320"/>
        <v>40.066983000000036</v>
      </c>
      <c r="U731" s="311">
        <f t="shared" ca="1" si="321"/>
        <v>0</v>
      </c>
      <c r="V731" s="306">
        <f t="shared" ca="1" si="322"/>
        <v>1.2261497413653659</v>
      </c>
      <c r="W731" s="304">
        <f t="shared" ca="1" si="323"/>
        <v>33.425589258492579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1.6059072592230521</v>
      </c>
      <c r="AH731" s="304">
        <f t="shared" ca="1" si="347"/>
        <v>-8.1838907788265889</v>
      </c>
    </row>
    <row r="732" spans="1:34" x14ac:dyDescent="0.2">
      <c r="A732" s="347">
        <f t="shared" ca="1" si="325"/>
        <v>1E-4</v>
      </c>
      <c r="B732" s="304">
        <f t="shared" ca="1" si="326"/>
        <v>41.61980000000095</v>
      </c>
      <c r="D732" s="306">
        <f t="shared" ca="1" si="327"/>
        <v>-0.52494268838905467</v>
      </c>
      <c r="E732" s="307">
        <f t="shared" ca="1" si="328"/>
        <v>-1.642931922268172</v>
      </c>
      <c r="F732" s="304">
        <f t="shared" ca="1" si="329"/>
        <v>1.7247579909369659</v>
      </c>
      <c r="G732" s="306">
        <f t="shared" ca="1" si="330"/>
        <v>8.7636813253763286</v>
      </c>
      <c r="H732" s="307">
        <f t="shared" ca="1" si="331"/>
        <v>-136.346497527796</v>
      </c>
      <c r="I732" s="304">
        <f t="shared" ca="1" si="332"/>
        <v>136.62785037637838</v>
      </c>
      <c r="J732" s="306">
        <f t="shared" ca="1" si="333"/>
        <v>712.18513894933824</v>
      </c>
      <c r="K732" s="307">
        <f t="shared" ca="1" si="334"/>
        <v>-9.3948759909562511</v>
      </c>
      <c r="L732" s="304">
        <f t="shared" ca="1" si="319"/>
        <v>712.24710307250371</v>
      </c>
      <c r="M732" s="306">
        <f t="shared" ca="1" si="335"/>
        <v>-1.5066095461405291</v>
      </c>
      <c r="N732" s="304">
        <f t="shared" ca="1" si="336"/>
        <v>-86.322368367972786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4.0843000000000034</v>
      </c>
      <c r="T732" s="304">
        <f t="shared" ca="1" si="320"/>
        <v>40.066983000000036</v>
      </c>
      <c r="U732" s="311">
        <f t="shared" ca="1" si="321"/>
        <v>0</v>
      </c>
      <c r="V732" s="306">
        <f t="shared" ca="1" si="322"/>
        <v>1.2261514131780933</v>
      </c>
      <c r="W732" s="304">
        <f t="shared" ca="1" si="323"/>
        <v>33.425713407974278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1.6058771520117041</v>
      </c>
      <c r="AH732" s="304">
        <f t="shared" ca="1" si="347"/>
        <v>-8.1839211758422614</v>
      </c>
    </row>
    <row r="733" spans="1:34" x14ac:dyDescent="0.2">
      <c r="A733" s="347">
        <f t="shared" ca="1" si="325"/>
        <v>1E-4</v>
      </c>
      <c r="B733" s="304">
        <f t="shared" ca="1" si="326"/>
        <v>41.619900000000953</v>
      </c>
      <c r="D733" s="306">
        <f t="shared" ca="1" si="327"/>
        <v>-0.52494087674666123</v>
      </c>
      <c r="E733" s="307">
        <f t="shared" ca="1" si="328"/>
        <v>-1.6429013463409934</v>
      </c>
      <c r="F733" s="304">
        <f t="shared" ca="1" si="329"/>
        <v>1.7247283142247656</v>
      </c>
      <c r="G733" s="306">
        <f t="shared" ca="1" si="330"/>
        <v>8.7636288312886546</v>
      </c>
      <c r="H733" s="307">
        <f t="shared" ca="1" si="331"/>
        <v>-136.34666181793062</v>
      </c>
      <c r="I733" s="304">
        <f t="shared" ca="1" si="332"/>
        <v>136.62801096109735</v>
      </c>
      <c r="J733" s="306">
        <f t="shared" ca="1" si="333"/>
        <v>712.18513894933824</v>
      </c>
      <c r="K733" s="307">
        <f t="shared" ca="1" si="334"/>
        <v>-9.4085106489235368</v>
      </c>
      <c r="L733" s="304">
        <f t="shared" ca="1" si="319"/>
        <v>712.24728305057022</v>
      </c>
      <c r="M733" s="306">
        <f t="shared" ca="1" si="335"/>
        <v>-1.5066100066903343</v>
      </c>
      <c r="N733" s="304">
        <f t="shared" ca="1" si="336"/>
        <v>-86.322394755532883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4.0843000000000034</v>
      </c>
      <c r="T733" s="304">
        <f t="shared" ca="1" si="320"/>
        <v>40.066983000000036</v>
      </c>
      <c r="U733" s="311">
        <f t="shared" ca="1" si="321"/>
        <v>0</v>
      </c>
      <c r="V733" s="306">
        <f t="shared" ca="1" si="322"/>
        <v>1.2261530849951159</v>
      </c>
      <c r="W733" s="304">
        <f t="shared" ca="1" si="323"/>
        <v>33.425837556406542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1.6058470450528031</v>
      </c>
      <c r="AH733" s="304">
        <f t="shared" ca="1" si="347"/>
        <v>-8.1839515726009964</v>
      </c>
    </row>
    <row r="734" spans="1:34" x14ac:dyDescent="0.2">
      <c r="A734" s="347">
        <f t="shared" ca="1" si="325"/>
        <v>1E-4</v>
      </c>
      <c r="B734" s="304">
        <f t="shared" ca="1" si="326"/>
        <v>41.620000000000957</v>
      </c>
      <c r="D734" s="306">
        <f t="shared" ca="1" si="327"/>
        <v>-0.52493906509110555</v>
      </c>
      <c r="E734" s="307">
        <f t="shared" ca="1" si="328"/>
        <v>-1.6428707706721823</v>
      </c>
      <c r="F734" s="304">
        <f t="shared" ca="1" si="329"/>
        <v>1.724698637787986</v>
      </c>
      <c r="G734" s="306">
        <f t="shared" ca="1" si="330"/>
        <v>8.7635763373821458</v>
      </c>
      <c r="H734" s="307">
        <f t="shared" ca="1" si="331"/>
        <v>-136.34682610500769</v>
      </c>
      <c r="I734" s="304">
        <f t="shared" ca="1" si="332"/>
        <v>136.62817154280566</v>
      </c>
      <c r="J734" s="306">
        <f t="shared" ca="1" si="333"/>
        <v>712.18513894933824</v>
      </c>
      <c r="K734" s="307">
        <f t="shared" ca="1" si="334"/>
        <v>-9.4221453233196844</v>
      </c>
      <c r="L734" s="304">
        <f t="shared" ca="1" si="319"/>
        <v>712.24746328981894</v>
      </c>
      <c r="M734" s="306">
        <f t="shared" ca="1" si="335"/>
        <v>-1.5066104672362983</v>
      </c>
      <c r="N734" s="304">
        <f t="shared" ca="1" si="336"/>
        <v>-86.322421142872884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4.0843000000000034</v>
      </c>
      <c r="T734" s="304">
        <f t="shared" ca="1" si="320"/>
        <v>40.066983000000036</v>
      </c>
      <c r="U734" s="311">
        <f t="shared" ca="1" si="321"/>
        <v>0</v>
      </c>
      <c r="V734" s="306">
        <f t="shared" ca="1" si="322"/>
        <v>1.2261547568164335</v>
      </c>
      <c r="W734" s="304">
        <f t="shared" ca="1" si="323"/>
        <v>33.42596170378939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 t="e">
        <f t="shared" ca="1" si="344"/>
        <v>#N/A</v>
      </c>
      <c r="AD734" s="323" t="e">
        <f t="shared" ca="1" si="345"/>
        <v>#N/A</v>
      </c>
      <c r="AE734" s="324" t="e">
        <f t="shared" ca="1" si="324"/>
        <v>#N/A</v>
      </c>
      <c r="AG734" s="306">
        <f t="shared" ca="1" si="346"/>
        <v>1.6058169383463508</v>
      </c>
      <c r="AH734" s="304">
        <f t="shared" ca="1" si="347"/>
        <v>-8.1839819691027866</v>
      </c>
    </row>
    <row r="735" spans="1:34" x14ac:dyDescent="0.2">
      <c r="A735" s="347">
        <f t="shared" ca="1" si="325"/>
        <v>1E-4</v>
      </c>
      <c r="B735" s="304">
        <f t="shared" ca="1" si="326"/>
        <v>41.62010000000096</v>
      </c>
      <c r="D735" s="306">
        <f t="shared" ca="1" si="327"/>
        <v>-0.52493725342238895</v>
      </c>
      <c r="E735" s="307">
        <f t="shared" ca="1" si="328"/>
        <v>-1.6428401952617335</v>
      </c>
      <c r="F735" s="304">
        <f t="shared" ca="1" si="329"/>
        <v>1.7246689616266224</v>
      </c>
      <c r="G735" s="306">
        <f t="shared" ca="1" si="330"/>
        <v>8.7635238436568041</v>
      </c>
      <c r="H735" s="307">
        <f t="shared" ca="1" si="331"/>
        <v>-136.34699038902721</v>
      </c>
      <c r="I735" s="304">
        <f t="shared" ca="1" si="332"/>
        <v>136.62833212150335</v>
      </c>
      <c r="J735" s="306">
        <f t="shared" ca="1" si="333"/>
        <v>712.18513894933824</v>
      </c>
      <c r="K735" s="307">
        <f t="shared" ca="1" si="334"/>
        <v>-9.4357800141443864</v>
      </c>
      <c r="L735" s="304">
        <f t="shared" ca="1" si="319"/>
        <v>712.24764379025055</v>
      </c>
      <c r="M735" s="306">
        <f t="shared" ca="1" si="335"/>
        <v>-1.506610927778421</v>
      </c>
      <c r="N735" s="304">
        <f t="shared" ca="1" si="336"/>
        <v>-86.3224475299928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4.0843000000000034</v>
      </c>
      <c r="T735" s="304">
        <f t="shared" ca="1" si="320"/>
        <v>40.066983000000036</v>
      </c>
      <c r="U735" s="311">
        <f t="shared" ca="1" si="321"/>
        <v>0</v>
      </c>
      <c r="V735" s="306">
        <f t="shared" ca="1" si="322"/>
        <v>1.2261564286420463</v>
      </c>
      <c r="W735" s="304">
        <f t="shared" ca="1" si="323"/>
        <v>33.42608585012286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1.6057868318923418</v>
      </c>
      <c r="AH735" s="304">
        <f t="shared" ca="1" si="347"/>
        <v>-8.1840123653476393</v>
      </c>
    </row>
    <row r="736" spans="1:34" x14ac:dyDescent="0.2">
      <c r="A736" s="347">
        <f t="shared" ca="1" si="325"/>
        <v>1E-4</v>
      </c>
      <c r="B736" s="304">
        <f t="shared" ca="1" si="326"/>
        <v>41.620200000000963</v>
      </c>
      <c r="D736" s="306">
        <f t="shared" ca="1" si="327"/>
        <v>-0.5249354417405141</v>
      </c>
      <c r="E736" s="307">
        <f t="shared" ca="1" si="328"/>
        <v>-1.642809620109638</v>
      </c>
      <c r="F736" s="304">
        <f t="shared" ca="1" si="329"/>
        <v>1.724639285740668</v>
      </c>
      <c r="G736" s="306">
        <f t="shared" ca="1" si="330"/>
        <v>8.7634713501126296</v>
      </c>
      <c r="H736" s="307">
        <f t="shared" ca="1" si="331"/>
        <v>-136.34715466998924</v>
      </c>
      <c r="I736" s="304">
        <f t="shared" ca="1" si="332"/>
        <v>136.62849269719041</v>
      </c>
      <c r="J736" s="306">
        <f t="shared" ca="1" si="333"/>
        <v>712.18513894933824</v>
      </c>
      <c r="K736" s="307">
        <f t="shared" ca="1" si="334"/>
        <v>-9.4494147213973374</v>
      </c>
      <c r="L736" s="304">
        <f t="shared" ca="1" si="319"/>
        <v>712.24782455186562</v>
      </c>
      <c r="M736" s="306">
        <f t="shared" ca="1" si="335"/>
        <v>-1.5066113883167025</v>
      </c>
      <c r="N736" s="304">
        <f t="shared" ca="1" si="336"/>
        <v>-86.322473916892633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4.0843000000000034</v>
      </c>
      <c r="T736" s="304">
        <f t="shared" ca="1" si="320"/>
        <v>40.066983000000036</v>
      </c>
      <c r="U736" s="311">
        <f t="shared" ca="1" si="321"/>
        <v>0</v>
      </c>
      <c r="V736" s="306">
        <f t="shared" ca="1" si="322"/>
        <v>1.2261581004719539</v>
      </c>
      <c r="W736" s="304">
        <f t="shared" ca="1" si="323"/>
        <v>33.4262099954069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1.6057567256907728</v>
      </c>
      <c r="AH736" s="304">
        <f t="shared" ca="1" si="347"/>
        <v>-8.1840427613355615</v>
      </c>
    </row>
    <row r="737" spans="1:34" x14ac:dyDescent="0.2">
      <c r="A737" s="347">
        <f t="shared" ca="1" si="325"/>
        <v>1E-4</v>
      </c>
      <c r="B737" s="304">
        <f t="shared" ca="1" si="326"/>
        <v>41.620300000000967</v>
      </c>
      <c r="D737" s="306">
        <f t="shared" ca="1" si="327"/>
        <v>-0.52493363004547944</v>
      </c>
      <c r="E737" s="307">
        <f t="shared" ca="1" si="328"/>
        <v>-1.6427790452159083</v>
      </c>
      <c r="F737" s="304">
        <f t="shared" ca="1" si="329"/>
        <v>1.7246096101301349</v>
      </c>
      <c r="G737" s="306">
        <f t="shared" ca="1" si="330"/>
        <v>8.7634188567496256</v>
      </c>
      <c r="H737" s="307">
        <f t="shared" ca="1" si="331"/>
        <v>-136.34731894789377</v>
      </c>
      <c r="I737" s="304">
        <f t="shared" ca="1" si="332"/>
        <v>136.62865326986687</v>
      </c>
      <c r="J737" s="306">
        <f t="shared" ca="1" si="333"/>
        <v>712.18513894933824</v>
      </c>
      <c r="K737" s="307">
        <f t="shared" ca="1" si="334"/>
        <v>-9.4630494450782319</v>
      </c>
      <c r="L737" s="304">
        <f t="shared" ca="1" si="319"/>
        <v>712.24800557466517</v>
      </c>
      <c r="M737" s="306">
        <f t="shared" ca="1" si="335"/>
        <v>-1.5066118488511429</v>
      </c>
      <c r="N737" s="304">
        <f t="shared" ca="1" si="336"/>
        <v>-86.322500303572397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4.0843000000000034</v>
      </c>
      <c r="T737" s="304">
        <f t="shared" ca="1" si="320"/>
        <v>40.066983000000036</v>
      </c>
      <c r="U737" s="311">
        <f t="shared" ca="1" si="321"/>
        <v>0</v>
      </c>
      <c r="V737" s="306">
        <f t="shared" ca="1" si="322"/>
        <v>1.2261597723061561</v>
      </c>
      <c r="W737" s="304">
        <f t="shared" ca="1" si="323"/>
        <v>33.426334139641511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1.6057266197416524</v>
      </c>
      <c r="AH737" s="304">
        <f t="shared" ca="1" si="347"/>
        <v>-8.1840731570665408</v>
      </c>
    </row>
    <row r="738" spans="1:34" x14ac:dyDescent="0.2">
      <c r="A738" s="347">
        <f t="shared" ca="1" si="325"/>
        <v>1E-4</v>
      </c>
      <c r="B738" s="304">
        <f t="shared" ca="1" si="326"/>
        <v>41.62040000000097</v>
      </c>
      <c r="D738" s="306">
        <f t="shared" ca="1" si="327"/>
        <v>-0.52493181833728553</v>
      </c>
      <c r="E738" s="307">
        <f t="shared" ca="1" si="328"/>
        <v>-1.6427484705805444</v>
      </c>
      <c r="F738" s="304">
        <f t="shared" ca="1" si="329"/>
        <v>1.7245799347950233</v>
      </c>
      <c r="G738" s="306">
        <f t="shared" ca="1" si="330"/>
        <v>8.7633663635677923</v>
      </c>
      <c r="H738" s="307">
        <f t="shared" ca="1" si="331"/>
        <v>-136.34748322274083</v>
      </c>
      <c r="I738" s="304">
        <f t="shared" ca="1" si="332"/>
        <v>136.62881383953277</v>
      </c>
      <c r="J738" s="306">
        <f t="shared" ca="1" si="333"/>
        <v>712.18513894933824</v>
      </c>
      <c r="K738" s="307">
        <f t="shared" ca="1" si="334"/>
        <v>-9.4766841851867643</v>
      </c>
      <c r="L738" s="304">
        <f t="shared" ca="1" si="319"/>
        <v>712.24818685864977</v>
      </c>
      <c r="M738" s="306">
        <f t="shared" ca="1" si="335"/>
        <v>-1.5066123093817423</v>
      </c>
      <c r="N738" s="304">
        <f t="shared" ca="1" si="336"/>
        <v>-86.322526690032078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4.0843000000000034</v>
      </c>
      <c r="T738" s="304">
        <f t="shared" ca="1" si="320"/>
        <v>40.066983000000036</v>
      </c>
      <c r="U738" s="311">
        <f t="shared" ca="1" si="321"/>
        <v>0</v>
      </c>
      <c r="V738" s="306">
        <f t="shared" ca="1" si="322"/>
        <v>1.2261614441446531</v>
      </c>
      <c r="W738" s="304">
        <f t="shared" ca="1" si="323"/>
        <v>33.426458282826722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1.605696514044979</v>
      </c>
      <c r="AH738" s="304">
        <f t="shared" ca="1" si="347"/>
        <v>-8.184103552540579</v>
      </c>
    </row>
    <row r="739" spans="1:34" x14ac:dyDescent="0.2">
      <c r="A739" s="347">
        <f t="shared" ca="1" si="325"/>
        <v>1E-4</v>
      </c>
      <c r="B739" s="304">
        <f t="shared" ca="1" si="326"/>
        <v>41.620500000000973</v>
      </c>
      <c r="D739" s="306">
        <f t="shared" ca="1" si="327"/>
        <v>-0.5249300066159317</v>
      </c>
      <c r="E739" s="307">
        <f t="shared" ca="1" si="328"/>
        <v>-1.6427178962035409</v>
      </c>
      <c r="F739" s="304">
        <f t="shared" ca="1" si="329"/>
        <v>1.7245502597353288</v>
      </c>
      <c r="G739" s="306">
        <f t="shared" ca="1" si="330"/>
        <v>8.7633138705671314</v>
      </c>
      <c r="H739" s="307">
        <f t="shared" ca="1" si="331"/>
        <v>-136.34764749453046</v>
      </c>
      <c r="I739" s="304">
        <f t="shared" ca="1" si="332"/>
        <v>136.62897440618815</v>
      </c>
      <c r="J739" s="306">
        <f t="shared" ca="1" si="333"/>
        <v>712.18513894933824</v>
      </c>
      <c r="K739" s="307">
        <f t="shared" ca="1" si="334"/>
        <v>-9.4903189417226272</v>
      </c>
      <c r="L739" s="304">
        <f t="shared" ca="1" si="319"/>
        <v>712.24836840382011</v>
      </c>
      <c r="M739" s="306">
        <f t="shared" ca="1" si="335"/>
        <v>-1.5066127699085006</v>
      </c>
      <c r="N739" s="304">
        <f t="shared" ca="1" si="336"/>
        <v>-86.322553076271674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4.0843000000000034</v>
      </c>
      <c r="T739" s="304">
        <f t="shared" ca="1" si="320"/>
        <v>40.066983000000036</v>
      </c>
      <c r="U739" s="311">
        <f t="shared" ca="1" si="321"/>
        <v>0</v>
      </c>
      <c r="V739" s="306">
        <f t="shared" ca="1" si="322"/>
        <v>1.2261631159874455</v>
      </c>
      <c r="W739" s="304">
        <f t="shared" ca="1" si="323"/>
        <v>33.426582424962561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1.6056664086007491</v>
      </c>
      <c r="AH739" s="304">
        <f t="shared" ca="1" si="347"/>
        <v>-8.1841339477576813</v>
      </c>
    </row>
    <row r="740" spans="1:34" x14ac:dyDescent="0.2">
      <c r="A740" s="347">
        <f t="shared" ca="1" si="325"/>
        <v>1E-4</v>
      </c>
      <c r="B740" s="304">
        <f t="shared" ca="1" si="326"/>
        <v>41.620600000000977</v>
      </c>
      <c r="D740" s="306">
        <f t="shared" ca="1" si="327"/>
        <v>-0.52492819488142095</v>
      </c>
      <c r="E740" s="307">
        <f t="shared" ca="1" si="328"/>
        <v>-1.642687322084889</v>
      </c>
      <c r="F740" s="304">
        <f t="shared" ca="1" si="329"/>
        <v>1.7245205849510439</v>
      </c>
      <c r="G740" s="306">
        <f t="shared" ca="1" si="330"/>
        <v>8.7632613777476429</v>
      </c>
      <c r="H740" s="307">
        <f t="shared" ca="1" si="331"/>
        <v>-136.34781176326268</v>
      </c>
      <c r="I740" s="304">
        <f t="shared" ca="1" si="332"/>
        <v>136.62913496983299</v>
      </c>
      <c r="J740" s="306">
        <f t="shared" ca="1" si="333"/>
        <v>712.18513894933824</v>
      </c>
      <c r="K740" s="307">
        <f t="shared" ca="1" si="334"/>
        <v>-9.5039537146855171</v>
      </c>
      <c r="L740" s="304">
        <f t="shared" ca="1" si="319"/>
        <v>712.24855021017709</v>
      </c>
      <c r="M740" s="306">
        <f t="shared" ca="1" si="335"/>
        <v>-1.5066132304314177</v>
      </c>
      <c r="N740" s="304">
        <f t="shared" ca="1" si="336"/>
        <v>-86.322579462291202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4.0843000000000034</v>
      </c>
      <c r="T740" s="304">
        <f t="shared" ca="1" si="320"/>
        <v>40.066983000000036</v>
      </c>
      <c r="U740" s="311">
        <f t="shared" ca="1" si="321"/>
        <v>0</v>
      </c>
      <c r="V740" s="306">
        <f t="shared" ca="1" si="322"/>
        <v>1.2261647878345323</v>
      </c>
      <c r="W740" s="304">
        <f t="shared" ca="1" si="323"/>
        <v>33.426706566048956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1.6056363034089536</v>
      </c>
      <c r="AH740" s="304">
        <f t="shared" ca="1" si="347"/>
        <v>-8.184164342717855</v>
      </c>
    </row>
    <row r="741" spans="1:34" x14ac:dyDescent="0.2">
      <c r="A741" s="347">
        <f t="shared" ca="1" si="325"/>
        <v>1E-4</v>
      </c>
      <c r="B741" s="304">
        <f t="shared" ca="1" si="326"/>
        <v>41.62070000000098</v>
      </c>
      <c r="D741" s="306">
        <f t="shared" ca="1" si="327"/>
        <v>-0.52492638313375273</v>
      </c>
      <c r="E741" s="307">
        <f t="shared" ca="1" si="328"/>
        <v>-1.6426567482246064</v>
      </c>
      <c r="F741" s="304">
        <f t="shared" ca="1" si="329"/>
        <v>1.7244909104421864</v>
      </c>
      <c r="G741" s="306">
        <f t="shared" ca="1" si="330"/>
        <v>8.7632088851093304</v>
      </c>
      <c r="H741" s="307">
        <f t="shared" ca="1" si="331"/>
        <v>-136.3479760289375</v>
      </c>
      <c r="I741" s="304">
        <f t="shared" ca="1" si="332"/>
        <v>136.62929553046729</v>
      </c>
      <c r="J741" s="306">
        <f t="shared" ca="1" si="333"/>
        <v>712.18513894933824</v>
      </c>
      <c r="K741" s="307">
        <f t="shared" ca="1" si="334"/>
        <v>-9.5175885040751265</v>
      </c>
      <c r="L741" s="304">
        <f t="shared" ca="1" si="319"/>
        <v>712.24873227772139</v>
      </c>
      <c r="M741" s="306">
        <f t="shared" ca="1" si="335"/>
        <v>-1.5066136909504941</v>
      </c>
      <c r="N741" s="304">
        <f t="shared" ca="1" si="336"/>
        <v>-86.32260584809066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4.0843000000000034</v>
      </c>
      <c r="T741" s="304">
        <f t="shared" ca="1" si="320"/>
        <v>40.066983000000036</v>
      </c>
      <c r="U741" s="311">
        <f t="shared" ca="1" si="321"/>
        <v>0</v>
      </c>
      <c r="V741" s="306">
        <f t="shared" ca="1" si="322"/>
        <v>1.2261664596859139</v>
      </c>
      <c r="W741" s="304">
        <f t="shared" ca="1" si="323"/>
        <v>33.42683070608593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1.6056061984696122</v>
      </c>
      <c r="AH741" s="304">
        <f t="shared" ca="1" si="347"/>
        <v>-8.1841947374210822</v>
      </c>
    </row>
    <row r="742" spans="1:34" x14ac:dyDescent="0.2">
      <c r="A742" s="347">
        <f t="shared" ca="1" si="325"/>
        <v>1E-4</v>
      </c>
      <c r="B742" s="304">
        <f t="shared" ca="1" si="326"/>
        <v>41.620800000000983</v>
      </c>
      <c r="D742" s="306">
        <f t="shared" ca="1" si="327"/>
        <v>-0.52492457137292481</v>
      </c>
      <c r="E742" s="307">
        <f t="shared" ca="1" si="328"/>
        <v>-1.6426261746226878</v>
      </c>
      <c r="F742" s="304">
        <f t="shared" ca="1" si="329"/>
        <v>1.724461236208751</v>
      </c>
      <c r="G742" s="306">
        <f t="shared" ca="1" si="330"/>
        <v>8.7631563926521938</v>
      </c>
      <c r="H742" s="307">
        <f t="shared" ca="1" si="331"/>
        <v>-136.34814029155496</v>
      </c>
      <c r="I742" s="304">
        <f t="shared" ca="1" si="332"/>
        <v>136.62945608809116</v>
      </c>
      <c r="J742" s="306">
        <f t="shared" ca="1" si="333"/>
        <v>712.18513894933824</v>
      </c>
      <c r="K742" s="307">
        <f t="shared" ca="1" si="334"/>
        <v>-9.5312233098911516</v>
      </c>
      <c r="L742" s="304">
        <f t="shared" ca="1" si="319"/>
        <v>712.24891460645358</v>
      </c>
      <c r="M742" s="306">
        <f t="shared" ca="1" si="335"/>
        <v>-1.5066141514657296</v>
      </c>
      <c r="N742" s="304">
        <f t="shared" ca="1" si="336"/>
        <v>-86.322632233670063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4.0843000000000034</v>
      </c>
      <c r="T742" s="304">
        <f t="shared" ca="1" si="320"/>
        <v>40.066983000000036</v>
      </c>
      <c r="U742" s="311">
        <f t="shared" ca="1" si="321"/>
        <v>0</v>
      </c>
      <c r="V742" s="306">
        <f t="shared" ca="1" si="322"/>
        <v>1.2261681315415907</v>
      </c>
      <c r="W742" s="304">
        <f t="shared" ca="1" si="323"/>
        <v>33.426954845073531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1.6055760937827195</v>
      </c>
      <c r="AH742" s="304">
        <f t="shared" ca="1" si="347"/>
        <v>-8.18422513186737</v>
      </c>
    </row>
    <row r="743" spans="1:34" x14ac:dyDescent="0.2">
      <c r="A743" s="347">
        <f t="shared" ca="1" si="325"/>
        <v>1E-4</v>
      </c>
      <c r="B743" s="304">
        <f t="shared" ca="1" si="326"/>
        <v>41.620900000000987</v>
      </c>
      <c r="D743" s="306">
        <f t="shared" ca="1" si="327"/>
        <v>-0.5249227595989403</v>
      </c>
      <c r="E743" s="307">
        <f t="shared" ca="1" si="328"/>
        <v>-1.6425956012791207</v>
      </c>
      <c r="F743" s="304">
        <f t="shared" ca="1" si="329"/>
        <v>1.7244315622507269</v>
      </c>
      <c r="G743" s="306">
        <f t="shared" ca="1" si="330"/>
        <v>8.7631039003762332</v>
      </c>
      <c r="H743" s="307">
        <f t="shared" ca="1" si="331"/>
        <v>-136.34830455111509</v>
      </c>
      <c r="I743" s="304">
        <f t="shared" ca="1" si="332"/>
        <v>136.6296166427046</v>
      </c>
      <c r="J743" s="306">
        <f t="shared" ca="1" si="333"/>
        <v>712.18513894933824</v>
      </c>
      <c r="K743" s="307">
        <f t="shared" ca="1" si="334"/>
        <v>-9.5448581321332853</v>
      </c>
      <c r="L743" s="304">
        <f t="shared" ca="1" si="319"/>
        <v>712.24909719637469</v>
      </c>
      <c r="M743" s="306">
        <f t="shared" ca="1" si="335"/>
        <v>-1.5066146119771242</v>
      </c>
      <c r="N743" s="304">
        <f t="shared" ca="1" si="336"/>
        <v>-86.322658619029383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4.0843000000000034</v>
      </c>
      <c r="T743" s="304">
        <f t="shared" ca="1" si="320"/>
        <v>40.066983000000036</v>
      </c>
      <c r="U743" s="311">
        <f t="shared" ca="1" si="321"/>
        <v>0</v>
      </c>
      <c r="V743" s="306">
        <f t="shared" ca="1" si="322"/>
        <v>1.2261698034015618</v>
      </c>
      <c r="W743" s="304">
        <f t="shared" ca="1" si="323"/>
        <v>33.427078983011747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1.605545989348256</v>
      </c>
      <c r="AH743" s="304">
        <f t="shared" ca="1" si="347"/>
        <v>-8.1842555260567309</v>
      </c>
    </row>
    <row r="744" spans="1:34" x14ac:dyDescent="0.2">
      <c r="A744" s="347">
        <f t="shared" ca="1" si="325"/>
        <v>1E-4</v>
      </c>
      <c r="B744" s="304">
        <f t="shared" ca="1" si="326"/>
        <v>41.62100000000099</v>
      </c>
      <c r="D744" s="306">
        <f t="shared" ca="1" si="327"/>
        <v>-0.52492094781179943</v>
      </c>
      <c r="E744" s="307">
        <f t="shared" ca="1" si="328"/>
        <v>-1.6425650281939106</v>
      </c>
      <c r="F744" s="304">
        <f t="shared" ca="1" si="329"/>
        <v>1.7244018885681205</v>
      </c>
      <c r="G744" s="306">
        <f t="shared" ca="1" si="330"/>
        <v>8.7630514082814521</v>
      </c>
      <c r="H744" s="307">
        <f t="shared" ca="1" si="331"/>
        <v>-136.34846880761791</v>
      </c>
      <c r="I744" s="304">
        <f t="shared" ca="1" si="332"/>
        <v>136.62977719430759</v>
      </c>
      <c r="J744" s="306">
        <f t="shared" ca="1" si="333"/>
        <v>712.18513894933824</v>
      </c>
      <c r="K744" s="307">
        <f t="shared" ca="1" si="334"/>
        <v>-9.5584929708012218</v>
      </c>
      <c r="L744" s="304">
        <f t="shared" ca="1" si="319"/>
        <v>712.24928004748529</v>
      </c>
      <c r="M744" s="306">
        <f t="shared" ca="1" si="335"/>
        <v>-1.5066150724846781</v>
      </c>
      <c r="N744" s="304">
        <f t="shared" ca="1" si="336"/>
        <v>-86.322685004168662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4.0843000000000034</v>
      </c>
      <c r="T744" s="304">
        <f t="shared" ca="1" si="320"/>
        <v>40.066983000000036</v>
      </c>
      <c r="U744" s="311">
        <f t="shared" ca="1" si="321"/>
        <v>0</v>
      </c>
      <c r="V744" s="306">
        <f t="shared" ca="1" si="322"/>
        <v>1.2261714752658281</v>
      </c>
      <c r="W744" s="304">
        <f t="shared" ca="1" si="323"/>
        <v>33.427203119900533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 t="e">
        <f t="shared" ca="1" si="344"/>
        <v>#N/A</v>
      </c>
      <c r="AD744" s="323" t="e">
        <f t="shared" ca="1" si="345"/>
        <v>#N/A</v>
      </c>
      <c r="AE744" s="324" t="e">
        <f t="shared" ca="1" si="324"/>
        <v>#N/A</v>
      </c>
      <c r="AG744" s="306">
        <f t="shared" ca="1" si="346"/>
        <v>1.6055158851662377</v>
      </c>
      <c r="AH744" s="304">
        <f t="shared" ca="1" si="347"/>
        <v>-8.1842859199891578</v>
      </c>
    </row>
    <row r="745" spans="1:34" x14ac:dyDescent="0.2">
      <c r="A745" s="347">
        <f t="shared" ca="1" si="325"/>
        <v>1E-4</v>
      </c>
      <c r="B745" s="304">
        <f t="shared" ca="1" si="326"/>
        <v>41.621100000000993</v>
      </c>
      <c r="D745" s="306">
        <f t="shared" ca="1" si="327"/>
        <v>-0.52491913601150086</v>
      </c>
      <c r="E745" s="307">
        <f t="shared" ca="1" si="328"/>
        <v>-1.6425344553670662</v>
      </c>
      <c r="F745" s="304">
        <f t="shared" ca="1" si="329"/>
        <v>1.7243722151609395</v>
      </c>
      <c r="G745" s="306">
        <f t="shared" ca="1" si="330"/>
        <v>8.7629989163678506</v>
      </c>
      <c r="H745" s="307">
        <f t="shared" ca="1" si="331"/>
        <v>-136.34863306106345</v>
      </c>
      <c r="I745" s="304">
        <f t="shared" ca="1" si="332"/>
        <v>136.62993774290021</v>
      </c>
      <c r="J745" s="306">
        <f t="shared" ca="1" si="333"/>
        <v>712.18513894933824</v>
      </c>
      <c r="K745" s="307">
        <f t="shared" ca="1" si="334"/>
        <v>-9.5721278258946558</v>
      </c>
      <c r="L745" s="304">
        <f t="shared" ca="1" si="319"/>
        <v>712.24946315978616</v>
      </c>
      <c r="M745" s="306">
        <f t="shared" ca="1" si="335"/>
        <v>-1.5066155329883912</v>
      </c>
      <c r="N745" s="304">
        <f t="shared" ca="1" si="336"/>
        <v>-86.322711389087871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4.0843000000000034</v>
      </c>
      <c r="T745" s="304">
        <f t="shared" ca="1" si="320"/>
        <v>40.066983000000036</v>
      </c>
      <c r="U745" s="311">
        <f t="shared" ca="1" si="321"/>
        <v>0</v>
      </c>
      <c r="V745" s="306">
        <f t="shared" ca="1" si="322"/>
        <v>1.2261731471343884</v>
      </c>
      <c r="W745" s="304">
        <f t="shared" ca="1" si="323"/>
        <v>33.427327255739925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1.6054857812366663</v>
      </c>
      <c r="AH745" s="304">
        <f t="shared" ca="1" si="347"/>
        <v>-8.1843163136646435</v>
      </c>
    </row>
    <row r="746" spans="1:34" x14ac:dyDescent="0.2">
      <c r="A746" s="347">
        <f t="shared" ca="1" si="325"/>
        <v>1E-4</v>
      </c>
      <c r="B746" s="304">
        <f t="shared" ca="1" si="326"/>
        <v>41.621200000000997</v>
      </c>
      <c r="D746" s="306">
        <f t="shared" ca="1" si="327"/>
        <v>-0.52491732419804549</v>
      </c>
      <c r="E746" s="307">
        <f t="shared" ca="1" si="328"/>
        <v>-1.6425038827985787</v>
      </c>
      <c r="F746" s="304">
        <f t="shared" ca="1" si="329"/>
        <v>1.7243425420291769</v>
      </c>
      <c r="G746" s="306">
        <f t="shared" ca="1" si="330"/>
        <v>8.7629464246354303</v>
      </c>
      <c r="H746" s="307">
        <f t="shared" ca="1" si="331"/>
        <v>-136.34879731145173</v>
      </c>
      <c r="I746" s="304">
        <f t="shared" ca="1" si="332"/>
        <v>136.63009828848246</v>
      </c>
      <c r="J746" s="306">
        <f t="shared" ca="1" si="333"/>
        <v>712.18513894933824</v>
      </c>
      <c r="K746" s="307">
        <f t="shared" ca="1" si="334"/>
        <v>-9.5857626974132817</v>
      </c>
      <c r="L746" s="304">
        <f t="shared" ca="1" si="319"/>
        <v>712.24964653327788</v>
      </c>
      <c r="M746" s="306">
        <f t="shared" ca="1" si="335"/>
        <v>-1.5066159934882635</v>
      </c>
      <c r="N746" s="304">
        <f t="shared" ca="1" si="336"/>
        <v>-86.322737773787011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4.0843000000000034</v>
      </c>
      <c r="T746" s="304">
        <f t="shared" ca="1" si="320"/>
        <v>40.066983000000036</v>
      </c>
      <c r="U746" s="311">
        <f t="shared" ca="1" si="321"/>
        <v>0</v>
      </c>
      <c r="V746" s="306">
        <f t="shared" ca="1" si="322"/>
        <v>1.2261748190072441</v>
      </c>
      <c r="W746" s="304">
        <f t="shared" ca="1" si="323"/>
        <v>33.427451390529939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1.6054556775595366</v>
      </c>
      <c r="AH746" s="304">
        <f t="shared" ca="1" si="347"/>
        <v>-8.1843467070831952</v>
      </c>
    </row>
    <row r="747" spans="1:34" x14ac:dyDescent="0.2">
      <c r="A747" s="347">
        <f t="shared" ca="1" si="325"/>
        <v>1E-4</v>
      </c>
      <c r="B747" s="304">
        <f t="shared" ca="1" si="326"/>
        <v>41.621300000001</v>
      </c>
      <c r="D747" s="306">
        <f t="shared" ca="1" si="327"/>
        <v>-0.5249155123714363</v>
      </c>
      <c r="E747" s="307">
        <f t="shared" ca="1" si="328"/>
        <v>-1.6424733104884428</v>
      </c>
      <c r="F747" s="304">
        <f t="shared" ca="1" si="329"/>
        <v>1.7243128691728284</v>
      </c>
      <c r="G747" s="306">
        <f t="shared" ca="1" si="330"/>
        <v>8.7628939330841931</v>
      </c>
      <c r="H747" s="307">
        <f t="shared" ca="1" si="331"/>
        <v>-136.34896155878278</v>
      </c>
      <c r="I747" s="304">
        <f t="shared" ca="1" si="332"/>
        <v>136.63025883105436</v>
      </c>
      <c r="J747" s="306">
        <f t="shared" ca="1" si="333"/>
        <v>712.18513894933824</v>
      </c>
      <c r="K747" s="307">
        <f t="shared" ca="1" si="334"/>
        <v>-9.5993975853567939</v>
      </c>
      <c r="L747" s="304">
        <f t="shared" ca="1" si="319"/>
        <v>712.24983016796148</v>
      </c>
      <c r="M747" s="306">
        <f t="shared" ca="1" si="335"/>
        <v>-1.5066164539842952</v>
      </c>
      <c r="N747" s="304">
        <f t="shared" ca="1" si="336"/>
        <v>-86.322764158266125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4.0843000000000034</v>
      </c>
      <c r="T747" s="304">
        <f t="shared" ca="1" si="320"/>
        <v>40.066983000000036</v>
      </c>
      <c r="U747" s="311">
        <f t="shared" ca="1" si="321"/>
        <v>0</v>
      </c>
      <c r="V747" s="306">
        <f t="shared" ca="1" si="322"/>
        <v>1.226176490884394</v>
      </c>
      <c r="W747" s="304">
        <f t="shared" ca="1" si="323"/>
        <v>33.427575524270544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1.6054255741348431</v>
      </c>
      <c r="AH747" s="304">
        <f t="shared" ca="1" si="347"/>
        <v>-8.1843771002448182</v>
      </c>
    </row>
    <row r="748" spans="1:34" x14ac:dyDescent="0.2">
      <c r="A748" s="347">
        <f t="shared" ca="1" si="325"/>
        <v>1E-4</v>
      </c>
      <c r="B748" s="304">
        <f t="shared" ca="1" si="326"/>
        <v>41.621400000001003</v>
      </c>
      <c r="D748" s="306">
        <f t="shared" ca="1" si="327"/>
        <v>-0.52491370053166986</v>
      </c>
      <c r="E748" s="307">
        <f t="shared" ca="1" si="328"/>
        <v>-1.6424427384366709</v>
      </c>
      <c r="F748" s="304">
        <f t="shared" ca="1" si="329"/>
        <v>1.7242831965919061</v>
      </c>
      <c r="G748" s="306">
        <f t="shared" ca="1" si="330"/>
        <v>8.7628414417141407</v>
      </c>
      <c r="H748" s="307">
        <f t="shared" ca="1" si="331"/>
        <v>-136.34912580305661</v>
      </c>
      <c r="I748" s="304">
        <f t="shared" ca="1" si="332"/>
        <v>136.63041937061593</v>
      </c>
      <c r="J748" s="306">
        <f t="shared" ca="1" si="333"/>
        <v>712.18513894933824</v>
      </c>
      <c r="K748" s="307">
        <f t="shared" ca="1" si="334"/>
        <v>-9.6130324897248851</v>
      </c>
      <c r="L748" s="304">
        <f t="shared" ca="1" si="319"/>
        <v>712.25001406383751</v>
      </c>
      <c r="M748" s="306">
        <f t="shared" ca="1" si="335"/>
        <v>-1.5066169144764863</v>
      </c>
      <c r="N748" s="304">
        <f t="shared" ca="1" si="336"/>
        <v>-86.322790542525169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4.0843000000000034</v>
      </c>
      <c r="T748" s="304">
        <f t="shared" ca="1" si="320"/>
        <v>40.066983000000036</v>
      </c>
      <c r="U748" s="311">
        <f t="shared" ca="1" si="321"/>
        <v>0</v>
      </c>
      <c r="V748" s="306">
        <f t="shared" ca="1" si="322"/>
        <v>1.2261781627658386</v>
      </c>
      <c r="W748" s="304">
        <f t="shared" ca="1" si="323"/>
        <v>33.427699656961749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1.6053954709625931</v>
      </c>
      <c r="AH748" s="304">
        <f t="shared" ca="1" si="347"/>
        <v>-8.1844074931495037</v>
      </c>
    </row>
    <row r="749" spans="1:34" x14ac:dyDescent="0.2">
      <c r="A749" s="347">
        <f t="shared" ca="1" si="325"/>
        <v>1E-4</v>
      </c>
      <c r="B749" s="304">
        <f t="shared" ca="1" si="326"/>
        <v>41.621500000001006</v>
      </c>
      <c r="D749" s="306">
        <f t="shared" ca="1" si="327"/>
        <v>-0.52491188867874872</v>
      </c>
      <c r="E749" s="307">
        <f t="shared" ca="1" si="328"/>
        <v>-1.6424121666432558</v>
      </c>
      <c r="F749" s="304">
        <f t="shared" ca="1" si="329"/>
        <v>1.7242535242864041</v>
      </c>
      <c r="G749" s="306">
        <f t="shared" ca="1" si="330"/>
        <v>8.7627889505252732</v>
      </c>
      <c r="H749" s="307">
        <f t="shared" ca="1" si="331"/>
        <v>-136.34929004427326</v>
      </c>
      <c r="I749" s="304">
        <f t="shared" ca="1" si="332"/>
        <v>136.6305799071672</v>
      </c>
      <c r="J749" s="306">
        <f t="shared" ca="1" si="333"/>
        <v>712.18513894933824</v>
      </c>
      <c r="K749" s="307">
        <f t="shared" ca="1" si="334"/>
        <v>-9.6266674105172516</v>
      </c>
      <c r="L749" s="304">
        <f t="shared" ca="1" si="319"/>
        <v>712.25019822090678</v>
      </c>
      <c r="M749" s="306">
        <f t="shared" ca="1" si="335"/>
        <v>-1.5066173749648368</v>
      </c>
      <c r="N749" s="304">
        <f t="shared" ca="1" si="336"/>
        <v>-86.322816926564172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4.0843000000000034</v>
      </c>
      <c r="T749" s="304">
        <f t="shared" ca="1" si="320"/>
        <v>40.066983000000036</v>
      </c>
      <c r="U749" s="311">
        <f t="shared" ca="1" si="321"/>
        <v>0</v>
      </c>
      <c r="V749" s="306">
        <f t="shared" ca="1" si="322"/>
        <v>1.226179834651578</v>
      </c>
      <c r="W749" s="304">
        <f t="shared" ca="1" si="323"/>
        <v>33.427823788603575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1.60536536804279</v>
      </c>
      <c r="AH749" s="304">
        <f t="shared" ca="1" si="347"/>
        <v>-8.1844378857972533</v>
      </c>
    </row>
    <row r="750" spans="1:34" x14ac:dyDescent="0.2">
      <c r="A750" s="347">
        <f t="shared" ca="1" si="325"/>
        <v>1E-4</v>
      </c>
      <c r="B750" s="304">
        <f t="shared" ca="1" si="326"/>
        <v>41.62160000000101</v>
      </c>
      <c r="D750" s="306">
        <f t="shared" ca="1" si="327"/>
        <v>-0.5249100768126721</v>
      </c>
      <c r="E750" s="307">
        <f t="shared" ca="1" si="328"/>
        <v>-1.6423815951081959</v>
      </c>
      <c r="F750" s="304">
        <f t="shared" ca="1" si="329"/>
        <v>1.7242238522563211</v>
      </c>
      <c r="G750" s="306">
        <f t="shared" ca="1" si="330"/>
        <v>8.7627364595175923</v>
      </c>
      <c r="H750" s="307">
        <f t="shared" ca="1" si="331"/>
        <v>-136.34945428243276</v>
      </c>
      <c r="I750" s="304">
        <f t="shared" ca="1" si="332"/>
        <v>136.63074044070822</v>
      </c>
      <c r="J750" s="306">
        <f t="shared" ca="1" si="333"/>
        <v>712.18513894933824</v>
      </c>
      <c r="K750" s="307">
        <f t="shared" ca="1" si="334"/>
        <v>-9.6403023477335861</v>
      </c>
      <c r="L750" s="304">
        <f t="shared" ca="1" si="319"/>
        <v>712.25038263916986</v>
      </c>
      <c r="M750" s="306">
        <f t="shared" ca="1" si="335"/>
        <v>-1.5066178354493469</v>
      </c>
      <c r="N750" s="304">
        <f t="shared" ca="1" si="336"/>
        <v>-86.322843310383121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4.0843000000000034</v>
      </c>
      <c r="T750" s="304">
        <f t="shared" ca="1" si="320"/>
        <v>40.066983000000036</v>
      </c>
      <c r="U750" s="311">
        <f t="shared" ca="1" si="321"/>
        <v>0</v>
      </c>
      <c r="V750" s="306">
        <f t="shared" ca="1" si="322"/>
        <v>1.2261815065416115</v>
      </c>
      <c r="W750" s="304">
        <f t="shared" ca="1" si="323"/>
        <v>33.427947919195994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1.6053352653754231</v>
      </c>
      <c r="AH750" s="304">
        <f t="shared" ca="1" si="347"/>
        <v>-8.1844682781880724</v>
      </c>
    </row>
    <row r="751" spans="1:34" x14ac:dyDescent="0.2">
      <c r="A751" s="347">
        <f t="shared" ca="1" si="325"/>
        <v>1E-4</v>
      </c>
      <c r="B751" s="304">
        <f t="shared" ca="1" si="326"/>
        <v>41.621700000001013</v>
      </c>
      <c r="D751" s="306">
        <f t="shared" ca="1" si="327"/>
        <v>-0.52490826493344045</v>
      </c>
      <c r="E751" s="307">
        <f t="shared" ca="1" si="328"/>
        <v>-1.6423510238314947</v>
      </c>
      <c r="F751" s="304">
        <f t="shared" ca="1" si="329"/>
        <v>1.7241941805016607</v>
      </c>
      <c r="G751" s="306">
        <f t="shared" ca="1" si="330"/>
        <v>8.7626839686910998</v>
      </c>
      <c r="H751" s="307">
        <f t="shared" ca="1" si="331"/>
        <v>-136.34961851753513</v>
      </c>
      <c r="I751" s="304">
        <f t="shared" ca="1" si="332"/>
        <v>136.63090097123899</v>
      </c>
      <c r="J751" s="306">
        <f t="shared" ca="1" si="333"/>
        <v>712.18513894933824</v>
      </c>
      <c r="K751" s="307">
        <f t="shared" ca="1" si="334"/>
        <v>-9.6539373013735847</v>
      </c>
      <c r="L751" s="304">
        <f t="shared" ca="1" si="319"/>
        <v>712.25056731862776</v>
      </c>
      <c r="M751" s="306">
        <f t="shared" ca="1" si="335"/>
        <v>-1.5066182959300165</v>
      </c>
      <c r="N751" s="304">
        <f t="shared" ca="1" si="336"/>
        <v>-86.322869693982042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4.0843000000000034</v>
      </c>
      <c r="T751" s="304">
        <f t="shared" ca="1" si="320"/>
        <v>40.066983000000036</v>
      </c>
      <c r="U751" s="311">
        <f t="shared" ca="1" si="321"/>
        <v>0</v>
      </c>
      <c r="V751" s="306">
        <f t="shared" ca="1" si="322"/>
        <v>1.2261831784359403</v>
      </c>
      <c r="W751" s="304">
        <f t="shared" ca="1" si="323"/>
        <v>33.428072048739047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1.6053051629604997</v>
      </c>
      <c r="AH751" s="304">
        <f t="shared" ca="1" si="347"/>
        <v>-8.1844986703219558</v>
      </c>
    </row>
    <row r="752" spans="1:34" x14ac:dyDescent="0.2">
      <c r="A752" s="347">
        <f t="shared" ca="1" si="325"/>
        <v>1E-4</v>
      </c>
      <c r="B752" s="304">
        <f t="shared" ca="1" si="326"/>
        <v>41.621800000001016</v>
      </c>
      <c r="D752" s="306">
        <f t="shared" ca="1" si="327"/>
        <v>-0.52490645304105499</v>
      </c>
      <c r="E752" s="307">
        <f t="shared" ca="1" si="328"/>
        <v>-1.642320452813145</v>
      </c>
      <c r="F752" s="304">
        <f t="shared" ca="1" si="329"/>
        <v>1.7241645090224178</v>
      </c>
      <c r="G752" s="306">
        <f t="shared" ca="1" si="330"/>
        <v>8.7626314780457957</v>
      </c>
      <c r="H752" s="307">
        <f t="shared" ca="1" si="331"/>
        <v>-136.34978274958041</v>
      </c>
      <c r="I752" s="304">
        <f t="shared" ca="1" si="332"/>
        <v>136.63106149875955</v>
      </c>
      <c r="J752" s="306">
        <f t="shared" ca="1" si="333"/>
        <v>712.18513894933824</v>
      </c>
      <c r="K752" s="307">
        <f t="shared" ca="1" si="334"/>
        <v>-9.6675722714369403</v>
      </c>
      <c r="L752" s="304">
        <f t="shared" ca="1" si="319"/>
        <v>712.25075225928094</v>
      </c>
      <c r="M752" s="306">
        <f t="shared" ca="1" si="335"/>
        <v>-1.5066187564068456</v>
      </c>
      <c r="N752" s="304">
        <f t="shared" ca="1" si="336"/>
        <v>-86.322896077360909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4.0843000000000034</v>
      </c>
      <c r="T752" s="304">
        <f t="shared" ca="1" si="320"/>
        <v>40.066983000000036</v>
      </c>
      <c r="U752" s="311">
        <f t="shared" ca="1" si="321"/>
        <v>0</v>
      </c>
      <c r="V752" s="306">
        <f t="shared" ca="1" si="322"/>
        <v>1.2261848503345629</v>
      </c>
      <c r="W752" s="304">
        <f t="shared" ca="1" si="323"/>
        <v>33.428196177232707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1.6052750607980109</v>
      </c>
      <c r="AH752" s="304">
        <f t="shared" ca="1" si="347"/>
        <v>-8.1845290621989122</v>
      </c>
    </row>
    <row r="753" spans="1:34" x14ac:dyDescent="0.2">
      <c r="A753" s="347">
        <f t="shared" ca="1" si="325"/>
        <v>1E-4</v>
      </c>
      <c r="B753" s="304">
        <f t="shared" ca="1" si="326"/>
        <v>41.62190000000102</v>
      </c>
      <c r="D753" s="306">
        <f t="shared" ca="1" si="327"/>
        <v>-0.52490464113551605</v>
      </c>
      <c r="E753" s="307">
        <f t="shared" ca="1" si="328"/>
        <v>-1.6422898820531522</v>
      </c>
      <c r="F753" s="304">
        <f t="shared" ca="1" si="329"/>
        <v>1.7241348378185974</v>
      </c>
      <c r="G753" s="306">
        <f t="shared" ca="1" si="330"/>
        <v>8.7625789875816817</v>
      </c>
      <c r="H753" s="307">
        <f t="shared" ca="1" si="331"/>
        <v>-136.34994697856862</v>
      </c>
      <c r="I753" s="304">
        <f t="shared" ca="1" si="332"/>
        <v>136.63122202326991</v>
      </c>
      <c r="J753" s="306">
        <f t="shared" ca="1" si="333"/>
        <v>712.18513894933824</v>
      </c>
      <c r="K753" s="307">
        <f t="shared" ca="1" si="334"/>
        <v>-9.6812072579233472</v>
      </c>
      <c r="L753" s="304">
        <f t="shared" ca="1" si="319"/>
        <v>712.25093746113043</v>
      </c>
      <c r="M753" s="306">
        <f t="shared" ca="1" si="335"/>
        <v>-1.5066192168798342</v>
      </c>
      <c r="N753" s="304">
        <f t="shared" ca="1" si="336"/>
        <v>-86.322922460519734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4.0843000000000034</v>
      </c>
      <c r="T753" s="304">
        <f t="shared" ca="1" si="320"/>
        <v>40.066983000000036</v>
      </c>
      <c r="U753" s="311">
        <f t="shared" ca="1" si="321"/>
        <v>0</v>
      </c>
      <c r="V753" s="306">
        <f t="shared" ca="1" si="322"/>
        <v>1.2261865222374806</v>
      </c>
      <c r="W753" s="304">
        <f t="shared" ca="1" si="323"/>
        <v>33.42832030467698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1.6052449588879636</v>
      </c>
      <c r="AH753" s="304">
        <f t="shared" ca="1" si="347"/>
        <v>-8.1845594538189363</v>
      </c>
    </row>
    <row r="754" spans="1:34" x14ac:dyDescent="0.2">
      <c r="A754" s="347">
        <f t="shared" ca="1" si="325"/>
        <v>1E-4</v>
      </c>
      <c r="B754" s="304">
        <f t="shared" ca="1" si="326"/>
        <v>41.622000000001023</v>
      </c>
      <c r="D754" s="306">
        <f t="shared" ca="1" si="327"/>
        <v>-0.5249028292168243</v>
      </c>
      <c r="E754" s="307">
        <f t="shared" ca="1" si="328"/>
        <v>-1.6422593115515163</v>
      </c>
      <c r="F754" s="304">
        <f t="shared" ca="1" si="329"/>
        <v>1.7241051668902008</v>
      </c>
      <c r="G754" s="306">
        <f t="shared" ca="1" si="330"/>
        <v>8.7625264972987598</v>
      </c>
      <c r="H754" s="307">
        <f t="shared" ca="1" si="331"/>
        <v>-136.35011120449977</v>
      </c>
      <c r="I754" s="304">
        <f t="shared" ca="1" si="332"/>
        <v>136.63138254477013</v>
      </c>
      <c r="J754" s="306">
        <f t="shared" ca="1" si="333"/>
        <v>712.18513894933824</v>
      </c>
      <c r="K754" s="307">
        <f t="shared" ca="1" si="334"/>
        <v>-9.6948422608325</v>
      </c>
      <c r="L754" s="304">
        <f t="shared" ca="1" si="319"/>
        <v>712.25112292417668</v>
      </c>
      <c r="M754" s="306">
        <f t="shared" ca="1" si="335"/>
        <v>-1.5066196773489826</v>
      </c>
      <c r="N754" s="304">
        <f t="shared" ca="1" si="336"/>
        <v>-86.322948843458533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4.0843000000000034</v>
      </c>
      <c r="T754" s="304">
        <f t="shared" ca="1" si="320"/>
        <v>40.066983000000036</v>
      </c>
      <c r="U754" s="311">
        <f t="shared" ca="1" si="321"/>
        <v>0</v>
      </c>
      <c r="V754" s="306">
        <f t="shared" ca="1" si="322"/>
        <v>1.2261881941446926</v>
      </c>
      <c r="W754" s="304">
        <f t="shared" ca="1" si="323"/>
        <v>33.428444431071881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 t="e">
        <f t="shared" ca="1" si="344"/>
        <v>#N/A</v>
      </c>
      <c r="AD754" s="323" t="e">
        <f t="shared" ca="1" si="345"/>
        <v>#N/A</v>
      </c>
      <c r="AE754" s="324" t="e">
        <f t="shared" ca="1" si="324"/>
        <v>#N/A</v>
      </c>
      <c r="AG754" s="306">
        <f t="shared" ca="1" si="346"/>
        <v>1.6052148572303562</v>
      </c>
      <c r="AH754" s="304">
        <f t="shared" ca="1" si="347"/>
        <v>-8.1845898451820265</v>
      </c>
    </row>
    <row r="755" spans="1:34" x14ac:dyDescent="0.2">
      <c r="A755" s="347">
        <f t="shared" ca="1" si="325"/>
        <v>1E-4</v>
      </c>
      <c r="B755" s="304">
        <f t="shared" ca="1" si="326"/>
        <v>41.622100000001026</v>
      </c>
      <c r="D755" s="306">
        <f t="shared" ca="1" si="327"/>
        <v>-0.52490101728497918</v>
      </c>
      <c r="E755" s="307">
        <f t="shared" ca="1" si="328"/>
        <v>-1.6422287413082319</v>
      </c>
      <c r="F755" s="304">
        <f t="shared" ca="1" si="329"/>
        <v>1.7240754962372227</v>
      </c>
      <c r="G755" s="306">
        <f t="shared" ca="1" si="330"/>
        <v>8.7624740071970315</v>
      </c>
      <c r="H755" s="307">
        <f t="shared" ca="1" si="331"/>
        <v>-136.3502754273739</v>
      </c>
      <c r="I755" s="304">
        <f t="shared" ca="1" si="332"/>
        <v>136.63154306326018</v>
      </c>
      <c r="J755" s="306">
        <f t="shared" ca="1" si="333"/>
        <v>712.18513894933824</v>
      </c>
      <c r="K755" s="307">
        <f t="shared" ca="1" si="334"/>
        <v>-9.7084772801640931</v>
      </c>
      <c r="L755" s="304">
        <f t="shared" ca="1" si="319"/>
        <v>712.2513086484206</v>
      </c>
      <c r="M755" s="306">
        <f t="shared" ca="1" si="335"/>
        <v>-1.5066201378142907</v>
      </c>
      <c r="N755" s="304">
        <f t="shared" ca="1" si="336"/>
        <v>-86.322975226177306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4.0843000000000034</v>
      </c>
      <c r="T755" s="304">
        <f t="shared" ca="1" si="320"/>
        <v>40.066983000000036</v>
      </c>
      <c r="U755" s="311">
        <f t="shared" ca="1" si="321"/>
        <v>0</v>
      </c>
      <c r="V755" s="306">
        <f t="shared" ca="1" si="322"/>
        <v>1.226189866056199</v>
      </c>
      <c r="W755" s="304">
        <f t="shared" ca="1" si="323"/>
        <v>33.428568556417382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1.6051847558251851</v>
      </c>
      <c r="AH755" s="304">
        <f t="shared" ca="1" si="347"/>
        <v>-8.1846202362881897</v>
      </c>
    </row>
    <row r="756" spans="1:34" x14ac:dyDescent="0.2">
      <c r="A756" s="347">
        <f t="shared" ca="1" si="325"/>
        <v>1E-4</v>
      </c>
      <c r="B756" s="304">
        <f t="shared" ca="1" si="326"/>
        <v>41.62220000000103</v>
      </c>
      <c r="D756" s="306">
        <f t="shared" ca="1" si="327"/>
        <v>-0.52489920533998047</v>
      </c>
      <c r="E756" s="307">
        <f t="shared" ca="1" si="328"/>
        <v>-1.6421981713233045</v>
      </c>
      <c r="F756" s="304">
        <f t="shared" ca="1" si="329"/>
        <v>1.7240458258596691</v>
      </c>
      <c r="G756" s="306">
        <f t="shared" ca="1" si="330"/>
        <v>8.762421517276497</v>
      </c>
      <c r="H756" s="307">
        <f t="shared" ca="1" si="331"/>
        <v>-136.35043964719102</v>
      </c>
      <c r="I756" s="304">
        <f t="shared" ca="1" si="332"/>
        <v>136.63170357874014</v>
      </c>
      <c r="J756" s="306">
        <f t="shared" ca="1" si="333"/>
        <v>712.18513894933824</v>
      </c>
      <c r="K756" s="307">
        <f t="shared" ca="1" si="334"/>
        <v>-9.7221123159178209</v>
      </c>
      <c r="L756" s="304">
        <f t="shared" ca="1" si="319"/>
        <v>712.25149463386288</v>
      </c>
      <c r="M756" s="306">
        <f t="shared" ca="1" si="335"/>
        <v>-1.5066205982757588</v>
      </c>
      <c r="N756" s="304">
        <f t="shared" ca="1" si="336"/>
        <v>-86.323001608676051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4.0843000000000034</v>
      </c>
      <c r="T756" s="304">
        <f t="shared" ca="1" si="320"/>
        <v>40.066983000000036</v>
      </c>
      <c r="U756" s="311">
        <f t="shared" ca="1" si="321"/>
        <v>0</v>
      </c>
      <c r="V756" s="306">
        <f t="shared" ca="1" si="322"/>
        <v>1.2261915379719996</v>
      </c>
      <c r="W756" s="304">
        <f t="shared" ca="1" si="323"/>
        <v>33.428692680713517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1.6051546546724573</v>
      </c>
      <c r="AH756" s="304">
        <f t="shared" ca="1" si="347"/>
        <v>-8.1846506271374171</v>
      </c>
    </row>
    <row r="757" spans="1:34" x14ac:dyDescent="0.2">
      <c r="A757" s="347">
        <f t="shared" ca="1" si="325"/>
        <v>1E-4</v>
      </c>
      <c r="B757" s="304">
        <f t="shared" ca="1" si="326"/>
        <v>41.622300000001033</v>
      </c>
      <c r="D757" s="306">
        <f t="shared" ca="1" si="327"/>
        <v>-0.52489739338182817</v>
      </c>
      <c r="E757" s="307">
        <f t="shared" ca="1" si="328"/>
        <v>-1.6421676015967286</v>
      </c>
      <c r="F757" s="304">
        <f t="shared" ca="1" si="329"/>
        <v>1.7240161557575351</v>
      </c>
      <c r="G757" s="306">
        <f t="shared" ca="1" si="330"/>
        <v>8.762369027537158</v>
      </c>
      <c r="H757" s="307">
        <f t="shared" ca="1" si="331"/>
        <v>-136.35060386395119</v>
      </c>
      <c r="I757" s="304">
        <f t="shared" ca="1" si="332"/>
        <v>136.63186409121002</v>
      </c>
      <c r="J757" s="306">
        <f t="shared" ca="1" si="333"/>
        <v>712.18513894933824</v>
      </c>
      <c r="K757" s="307">
        <f t="shared" ca="1" si="334"/>
        <v>-9.7357473680933779</v>
      </c>
      <c r="L757" s="304">
        <f t="shared" ca="1" si="319"/>
        <v>712.25168088050418</v>
      </c>
      <c r="M757" s="306">
        <f t="shared" ca="1" si="335"/>
        <v>-1.5066210587333864</v>
      </c>
      <c r="N757" s="304">
        <f t="shared" ca="1" si="336"/>
        <v>-86.323027990954756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4.0843000000000034</v>
      </c>
      <c r="T757" s="304">
        <f t="shared" ca="1" si="320"/>
        <v>40.066983000000036</v>
      </c>
      <c r="U757" s="311">
        <f t="shared" ca="1" si="321"/>
        <v>0</v>
      </c>
      <c r="V757" s="306">
        <f t="shared" ca="1" si="322"/>
        <v>1.2261932098920949</v>
      </c>
      <c r="W757" s="304">
        <f t="shared" ca="1" si="323"/>
        <v>33.428816803960288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1.6051245537721641</v>
      </c>
      <c r="AH757" s="304">
        <f t="shared" ca="1" si="347"/>
        <v>-8.1846810177297193</v>
      </c>
    </row>
    <row r="758" spans="1:34" x14ac:dyDescent="0.2">
      <c r="A758" s="347">
        <f t="shared" ca="1" si="325"/>
        <v>1E-4</v>
      </c>
      <c r="B758" s="304">
        <f t="shared" ca="1" si="326"/>
        <v>41.622400000001036</v>
      </c>
      <c r="D758" s="306">
        <f t="shared" ca="1" si="327"/>
        <v>-0.52489558141052606</v>
      </c>
      <c r="E758" s="307">
        <f t="shared" ca="1" si="328"/>
        <v>-1.6421370321285025</v>
      </c>
      <c r="F758" s="304">
        <f t="shared" ca="1" si="329"/>
        <v>1.7239864859308209</v>
      </c>
      <c r="G758" s="306">
        <f t="shared" ca="1" si="330"/>
        <v>8.7623165379790162</v>
      </c>
      <c r="H758" s="307">
        <f t="shared" ca="1" si="331"/>
        <v>-136.35076807765441</v>
      </c>
      <c r="I758" s="304">
        <f t="shared" ca="1" si="332"/>
        <v>136.63202460066981</v>
      </c>
      <c r="J758" s="306">
        <f t="shared" ca="1" si="333"/>
        <v>712.18513894933824</v>
      </c>
      <c r="K758" s="307">
        <f t="shared" ca="1" si="334"/>
        <v>-9.7493824366904587</v>
      </c>
      <c r="L758" s="304">
        <f t="shared" ca="1" si="319"/>
        <v>712.25186738834532</v>
      </c>
      <c r="M758" s="306">
        <f t="shared" ca="1" si="335"/>
        <v>-1.5066215191871739</v>
      </c>
      <c r="N758" s="304">
        <f t="shared" ca="1" si="336"/>
        <v>-86.323054373013449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4.0843000000000034</v>
      </c>
      <c r="T758" s="304">
        <f t="shared" ca="1" si="320"/>
        <v>40.066983000000036</v>
      </c>
      <c r="U758" s="311">
        <f t="shared" ca="1" si="321"/>
        <v>0</v>
      </c>
      <c r="V758" s="306">
        <f t="shared" ca="1" si="322"/>
        <v>1.2261948818164843</v>
      </c>
      <c r="W758" s="304">
        <f t="shared" ca="1" si="323"/>
        <v>33.428940926157665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1.6050944531243072</v>
      </c>
      <c r="AH758" s="304">
        <f t="shared" ca="1" si="347"/>
        <v>-8.1847114080650929</v>
      </c>
    </row>
    <row r="759" spans="1:34" x14ac:dyDescent="0.2">
      <c r="A759" s="347">
        <f t="shared" ca="1" si="325"/>
        <v>1E-4</v>
      </c>
      <c r="B759" s="304">
        <f t="shared" ca="1" si="326"/>
        <v>41.62250000000104</v>
      </c>
      <c r="D759" s="306">
        <f t="shared" ca="1" si="327"/>
        <v>-0.52489376942607113</v>
      </c>
      <c r="E759" s="307">
        <f t="shared" ca="1" si="328"/>
        <v>-1.642106462918635</v>
      </c>
      <c r="F759" s="304">
        <f t="shared" ca="1" si="329"/>
        <v>1.7239568163795345</v>
      </c>
      <c r="G759" s="306">
        <f t="shared" ca="1" si="330"/>
        <v>8.7622640486020735</v>
      </c>
      <c r="H759" s="307">
        <f t="shared" ca="1" si="331"/>
        <v>-136.3509322883007</v>
      </c>
      <c r="I759" s="304">
        <f t="shared" ca="1" si="332"/>
        <v>136.63218510711957</v>
      </c>
      <c r="J759" s="306">
        <f t="shared" ca="1" si="333"/>
        <v>712.18513894933824</v>
      </c>
      <c r="K759" s="307">
        <f t="shared" ca="1" si="334"/>
        <v>-9.7630175217087558</v>
      </c>
      <c r="L759" s="304">
        <f t="shared" ca="1" si="319"/>
        <v>712.25205415738708</v>
      </c>
      <c r="M759" s="306">
        <f t="shared" ca="1" si="335"/>
        <v>-1.5066219796371214</v>
      </c>
      <c r="N759" s="304">
        <f t="shared" ca="1" si="336"/>
        <v>-86.323080754852114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4.0843000000000034</v>
      </c>
      <c r="T759" s="304">
        <f t="shared" ca="1" si="320"/>
        <v>40.066983000000036</v>
      </c>
      <c r="U759" s="311">
        <f t="shared" ca="1" si="321"/>
        <v>0</v>
      </c>
      <c r="V759" s="306">
        <f t="shared" ca="1" si="322"/>
        <v>1.2261965537451684</v>
      </c>
      <c r="W759" s="304">
        <f t="shared" ca="1" si="323"/>
        <v>33.429065047305677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1.6050643527288901</v>
      </c>
      <c r="AH759" s="304">
        <f t="shared" ca="1" si="347"/>
        <v>-8.1847417981435342</v>
      </c>
    </row>
    <row r="760" spans="1:34" x14ac:dyDescent="0.2">
      <c r="A760" s="347">
        <f t="shared" ca="1" si="325"/>
        <v>1E-4</v>
      </c>
      <c r="B760" s="304">
        <f t="shared" ca="1" si="326"/>
        <v>41.622600000001043</v>
      </c>
      <c r="D760" s="306">
        <f t="shared" ca="1" si="327"/>
        <v>-0.5248919574284644</v>
      </c>
      <c r="E760" s="307">
        <f t="shared" ca="1" si="328"/>
        <v>-1.6420758939671174</v>
      </c>
      <c r="F760" s="304">
        <f t="shared" ca="1" si="329"/>
        <v>1.7239271471036681</v>
      </c>
      <c r="G760" s="306">
        <f t="shared" ca="1" si="330"/>
        <v>8.7622115594063299</v>
      </c>
      <c r="H760" s="307">
        <f t="shared" ca="1" si="331"/>
        <v>-136.35109649589009</v>
      </c>
      <c r="I760" s="304">
        <f t="shared" ca="1" si="332"/>
        <v>136.6323456105593</v>
      </c>
      <c r="J760" s="306">
        <f t="shared" ca="1" si="333"/>
        <v>712.18513894933824</v>
      </c>
      <c r="K760" s="307">
        <f t="shared" ca="1" si="334"/>
        <v>-9.7766526231479656</v>
      </c>
      <c r="L760" s="304">
        <f t="shared" ca="1" si="319"/>
        <v>712.25224118763003</v>
      </c>
      <c r="M760" s="306">
        <f t="shared" ca="1" si="335"/>
        <v>-1.5066224400832289</v>
      </c>
      <c r="N760" s="304">
        <f t="shared" ca="1" si="336"/>
        <v>-86.323107136470767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4.0843000000000034</v>
      </c>
      <c r="T760" s="304">
        <f t="shared" ca="1" si="320"/>
        <v>40.066983000000036</v>
      </c>
      <c r="U760" s="311">
        <f t="shared" ca="1" si="321"/>
        <v>0</v>
      </c>
      <c r="V760" s="306">
        <f t="shared" ca="1" si="322"/>
        <v>1.2261982256781465</v>
      </c>
      <c r="W760" s="304">
        <f t="shared" ca="1" si="323"/>
        <v>33.429189167404303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1.6050342525859111</v>
      </c>
      <c r="AH760" s="304">
        <f t="shared" ca="1" si="347"/>
        <v>-8.1847721879650486</v>
      </c>
    </row>
    <row r="761" spans="1:34" x14ac:dyDescent="0.2">
      <c r="A761" s="347">
        <f t="shared" ca="1" si="325"/>
        <v>1E-4</v>
      </c>
      <c r="B761" s="304">
        <f t="shared" ca="1" si="326"/>
        <v>41.622700000001046</v>
      </c>
      <c r="D761" s="306">
        <f t="shared" ca="1" si="327"/>
        <v>-0.5248901454177064</v>
      </c>
      <c r="E761" s="307">
        <f t="shared" ca="1" si="328"/>
        <v>-1.6420453252739531</v>
      </c>
      <c r="F761" s="304">
        <f t="shared" ca="1" si="329"/>
        <v>1.7238974781032264</v>
      </c>
      <c r="G761" s="306">
        <f t="shared" ca="1" si="330"/>
        <v>8.7621590703917889</v>
      </c>
      <c r="H761" s="307">
        <f t="shared" ca="1" si="331"/>
        <v>-136.35126070042261</v>
      </c>
      <c r="I761" s="304">
        <f t="shared" ca="1" si="332"/>
        <v>136.63250611098906</v>
      </c>
      <c r="J761" s="306">
        <f t="shared" ca="1" si="333"/>
        <v>712.18513894933824</v>
      </c>
      <c r="K761" s="307">
        <f t="shared" ca="1" si="334"/>
        <v>-9.7902877410077807</v>
      </c>
      <c r="L761" s="304">
        <f t="shared" ca="1" si="319"/>
        <v>712.25242847907509</v>
      </c>
      <c r="M761" s="306">
        <f t="shared" ca="1" si="335"/>
        <v>-1.5066229005254963</v>
      </c>
      <c r="N761" s="304">
        <f t="shared" ca="1" si="336"/>
        <v>-86.323133517869394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4.0843000000000034</v>
      </c>
      <c r="T761" s="304">
        <f t="shared" ca="1" si="320"/>
        <v>40.066983000000036</v>
      </c>
      <c r="U761" s="311">
        <f t="shared" ca="1" si="321"/>
        <v>0</v>
      </c>
      <c r="V761" s="306">
        <f t="shared" ca="1" si="322"/>
        <v>1.2261998976154194</v>
      </c>
      <c r="W761" s="304">
        <f t="shared" ca="1" si="323"/>
        <v>33.429313286453578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1.6050041526953702</v>
      </c>
      <c r="AH761" s="304">
        <f t="shared" ca="1" si="347"/>
        <v>-8.1848025775296325</v>
      </c>
    </row>
    <row r="762" spans="1:34" x14ac:dyDescent="0.2">
      <c r="A762" s="347">
        <f t="shared" ca="1" si="325"/>
        <v>1E-4</v>
      </c>
      <c r="B762" s="304">
        <f t="shared" ca="1" si="326"/>
        <v>41.62280000000105</v>
      </c>
      <c r="D762" s="306">
        <f t="shared" ca="1" si="327"/>
        <v>-0.52488833339379826</v>
      </c>
      <c r="E762" s="307">
        <f t="shared" ca="1" si="328"/>
        <v>-1.6420147568391386</v>
      </c>
      <c r="F762" s="304">
        <f t="shared" ca="1" si="329"/>
        <v>1.7238678093782061</v>
      </c>
      <c r="G762" s="306">
        <f t="shared" ca="1" si="330"/>
        <v>8.7621065815584487</v>
      </c>
      <c r="H762" s="307">
        <f t="shared" ca="1" si="331"/>
        <v>-136.3514249018983</v>
      </c>
      <c r="I762" s="304">
        <f t="shared" ca="1" si="332"/>
        <v>136.63266660840884</v>
      </c>
      <c r="J762" s="306">
        <f t="shared" ca="1" si="333"/>
        <v>712.18513894933824</v>
      </c>
      <c r="K762" s="307">
        <f t="shared" ca="1" si="334"/>
        <v>-9.8039228752878973</v>
      </c>
      <c r="L762" s="304">
        <f t="shared" ca="1" si="319"/>
        <v>712.25261603172282</v>
      </c>
      <c r="M762" s="306">
        <f t="shared" ca="1" si="335"/>
        <v>-1.5066233609639237</v>
      </c>
      <c r="N762" s="304">
        <f t="shared" ca="1" si="336"/>
        <v>-86.323159899048008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4.0843000000000034</v>
      </c>
      <c r="T762" s="304">
        <f t="shared" ca="1" si="320"/>
        <v>40.066983000000036</v>
      </c>
      <c r="U762" s="311">
        <f t="shared" ca="1" si="321"/>
        <v>0</v>
      </c>
      <c r="V762" s="306">
        <f t="shared" ca="1" si="322"/>
        <v>1.2262015695569863</v>
      </c>
      <c r="W762" s="304">
        <f t="shared" ca="1" si="323"/>
        <v>33.429437404453466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1.604974053057262</v>
      </c>
      <c r="AH762" s="304">
        <f t="shared" ca="1" si="347"/>
        <v>-8.1848329668372912</v>
      </c>
    </row>
    <row r="763" spans="1:34" x14ac:dyDescent="0.2">
      <c r="A763" s="347">
        <f t="shared" ca="1" si="325"/>
        <v>1E-4</v>
      </c>
      <c r="B763" s="304">
        <f t="shared" ca="1" si="326"/>
        <v>41.622900000001053</v>
      </c>
      <c r="D763" s="306">
        <f t="shared" ca="1" si="327"/>
        <v>-0.52488652135674008</v>
      </c>
      <c r="E763" s="307">
        <f t="shared" ca="1" si="328"/>
        <v>-1.6419841886626774</v>
      </c>
      <c r="F763" s="304">
        <f t="shared" ca="1" si="329"/>
        <v>1.723838140928611</v>
      </c>
      <c r="G763" s="306">
        <f t="shared" ca="1" si="330"/>
        <v>8.7620540929063129</v>
      </c>
      <c r="H763" s="307">
        <f t="shared" ca="1" si="331"/>
        <v>-136.35158910031717</v>
      </c>
      <c r="I763" s="304">
        <f t="shared" ca="1" si="332"/>
        <v>136.63282710281871</v>
      </c>
      <c r="J763" s="306">
        <f t="shared" ca="1" si="333"/>
        <v>712.18513894933824</v>
      </c>
      <c r="K763" s="307">
        <f t="shared" ca="1" si="334"/>
        <v>-9.8175580259880082</v>
      </c>
      <c r="L763" s="304">
        <f t="shared" ca="1" si="319"/>
        <v>712.25280384557414</v>
      </c>
      <c r="M763" s="306">
        <f t="shared" ca="1" si="335"/>
        <v>-1.5066238213985113</v>
      </c>
      <c r="N763" s="304">
        <f t="shared" ca="1" si="336"/>
        <v>-86.323186280006624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4.0843000000000034</v>
      </c>
      <c r="T763" s="304">
        <f t="shared" ca="1" si="320"/>
        <v>40.066983000000036</v>
      </c>
      <c r="U763" s="311">
        <f t="shared" ca="1" si="321"/>
        <v>0</v>
      </c>
      <c r="V763" s="306">
        <f t="shared" ca="1" si="322"/>
        <v>1.2262032415028474</v>
      </c>
      <c r="W763" s="304">
        <f t="shared" ca="1" si="323"/>
        <v>33.429561521404004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1.6049439536715919</v>
      </c>
      <c r="AH763" s="304">
        <f t="shared" ca="1" si="347"/>
        <v>-8.1848633558880195</v>
      </c>
    </row>
    <row r="764" spans="1:34" x14ac:dyDescent="0.2">
      <c r="A764" s="347">
        <f t="shared" ca="1" si="325"/>
        <v>1E-4</v>
      </c>
      <c r="B764" s="304">
        <f t="shared" ca="1" si="326"/>
        <v>41.623000000001056</v>
      </c>
      <c r="D764" s="306">
        <f t="shared" ca="1" si="327"/>
        <v>-0.52488470930653142</v>
      </c>
      <c r="E764" s="307">
        <f t="shared" ca="1" si="328"/>
        <v>-1.6419536207445642</v>
      </c>
      <c r="F764" s="304">
        <f t="shared" ca="1" si="329"/>
        <v>1.7238084727544376</v>
      </c>
      <c r="G764" s="306">
        <f t="shared" ca="1" si="330"/>
        <v>8.7620016044353815</v>
      </c>
      <c r="H764" s="307">
        <f t="shared" ca="1" si="331"/>
        <v>-136.35175329567923</v>
      </c>
      <c r="I764" s="304">
        <f t="shared" ca="1" si="332"/>
        <v>136.63298759421863</v>
      </c>
      <c r="J764" s="306">
        <f t="shared" ca="1" si="333"/>
        <v>712.18513894933824</v>
      </c>
      <c r="K764" s="307">
        <f t="shared" ca="1" si="334"/>
        <v>-9.8311931931078078</v>
      </c>
      <c r="L764" s="304">
        <f t="shared" ca="1" si="319"/>
        <v>712.2529919206296</v>
      </c>
      <c r="M764" s="306">
        <f t="shared" ca="1" si="335"/>
        <v>-1.5066242818292588</v>
      </c>
      <c r="N764" s="304">
        <f t="shared" ca="1" si="336"/>
        <v>-86.323212660745213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4.0843000000000034</v>
      </c>
      <c r="T764" s="304">
        <f t="shared" ca="1" si="320"/>
        <v>40.066983000000036</v>
      </c>
      <c r="U764" s="311">
        <f t="shared" ca="1" si="321"/>
        <v>0</v>
      </c>
      <c r="V764" s="306">
        <f t="shared" ca="1" si="322"/>
        <v>1.2262049134530029</v>
      </c>
      <c r="W764" s="304">
        <f t="shared" ca="1" si="323"/>
        <v>33.42968563730517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 t="e">
        <f t="shared" ca="1" si="344"/>
        <v>#N/A</v>
      </c>
      <c r="AD764" s="323" t="e">
        <f t="shared" ca="1" si="345"/>
        <v>#N/A</v>
      </c>
      <c r="AE764" s="324" t="e">
        <f t="shared" ca="1" si="324"/>
        <v>#N/A</v>
      </c>
      <c r="AG764" s="306">
        <f t="shared" ca="1" si="346"/>
        <v>1.6049138545383563</v>
      </c>
      <c r="AH764" s="304">
        <f t="shared" ca="1" si="347"/>
        <v>-8.1848937446818244</v>
      </c>
    </row>
    <row r="765" spans="1:34" x14ac:dyDescent="0.2">
      <c r="A765" s="347">
        <f t="shared" ca="1" si="325"/>
        <v>1E-4</v>
      </c>
      <c r="B765" s="304">
        <f t="shared" ca="1" si="326"/>
        <v>41.62310000000106</v>
      </c>
      <c r="D765" s="306">
        <f t="shared" ca="1" si="327"/>
        <v>-0.52488289724317438</v>
      </c>
      <c r="E765" s="307">
        <f t="shared" ca="1" si="328"/>
        <v>-1.6419230530848026</v>
      </c>
      <c r="F765" s="304">
        <f t="shared" ca="1" si="329"/>
        <v>1.7237788048556892</v>
      </c>
      <c r="G765" s="306">
        <f t="shared" ca="1" si="330"/>
        <v>8.761949116145658</v>
      </c>
      <c r="H765" s="307">
        <f t="shared" ca="1" si="331"/>
        <v>-136.35191748798454</v>
      </c>
      <c r="I765" s="304">
        <f t="shared" ca="1" si="332"/>
        <v>136.63314808260867</v>
      </c>
      <c r="J765" s="306">
        <f t="shared" ca="1" si="333"/>
        <v>712.18513894933824</v>
      </c>
      <c r="K765" s="307">
        <f t="shared" ca="1" si="334"/>
        <v>-9.8448283766469906</v>
      </c>
      <c r="L765" s="304">
        <f t="shared" ca="1" si="319"/>
        <v>712.25318025689</v>
      </c>
      <c r="M765" s="306">
        <f t="shared" ca="1" si="335"/>
        <v>-1.5066247422561667</v>
      </c>
      <c r="N765" s="304">
        <f t="shared" ca="1" si="336"/>
        <v>-86.323239041263818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4.0843000000000034</v>
      </c>
      <c r="T765" s="304">
        <f t="shared" ca="1" si="320"/>
        <v>40.066983000000036</v>
      </c>
      <c r="U765" s="311">
        <f t="shared" ca="1" si="321"/>
        <v>0</v>
      </c>
      <c r="V765" s="306">
        <f t="shared" ca="1" si="322"/>
        <v>1.2262065854074524</v>
      </c>
      <c r="W765" s="304">
        <f t="shared" ca="1" si="323"/>
        <v>33.429809752156956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1.6048837556575588</v>
      </c>
      <c r="AH765" s="304">
        <f t="shared" ca="1" si="347"/>
        <v>-8.1849241332187006</v>
      </c>
    </row>
    <row r="766" spans="1:34" x14ac:dyDescent="0.2">
      <c r="A766" s="347">
        <f t="shared" ca="1" si="325"/>
        <v>1E-4</v>
      </c>
      <c r="B766" s="304">
        <f t="shared" ca="1" si="326"/>
        <v>41.623200000001063</v>
      </c>
      <c r="D766" s="306">
        <f t="shared" ca="1" si="327"/>
        <v>-0.52488108516666598</v>
      </c>
      <c r="E766" s="307">
        <f t="shared" ca="1" si="328"/>
        <v>-1.6418924856833943</v>
      </c>
      <c r="F766" s="304">
        <f t="shared" ca="1" si="329"/>
        <v>1.7237491372323679</v>
      </c>
      <c r="G766" s="306">
        <f t="shared" ca="1" si="330"/>
        <v>8.7618966280371406</v>
      </c>
      <c r="H766" s="307">
        <f t="shared" ca="1" si="331"/>
        <v>-136.35208167723312</v>
      </c>
      <c r="I766" s="304">
        <f t="shared" ca="1" si="332"/>
        <v>136.63330856798885</v>
      </c>
      <c r="J766" s="306">
        <f t="shared" ca="1" si="333"/>
        <v>712.18513894933824</v>
      </c>
      <c r="K766" s="307">
        <f t="shared" ca="1" si="334"/>
        <v>-9.8584635766052511</v>
      </c>
      <c r="L766" s="304">
        <f t="shared" ca="1" si="319"/>
        <v>712.25336885435615</v>
      </c>
      <c r="M766" s="306">
        <f t="shared" ca="1" si="335"/>
        <v>-1.5066252026792346</v>
      </c>
      <c r="N766" s="304">
        <f t="shared" ca="1" si="336"/>
        <v>-86.323265421562397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4.0843000000000034</v>
      </c>
      <c r="T766" s="304">
        <f t="shared" ca="1" si="320"/>
        <v>40.066983000000036</v>
      </c>
      <c r="U766" s="311">
        <f t="shared" ca="1" si="321"/>
        <v>0</v>
      </c>
      <c r="V766" s="306">
        <f t="shared" ca="1" si="322"/>
        <v>1.2262082573661961</v>
      </c>
      <c r="W766" s="304">
        <f t="shared" ca="1" si="323"/>
        <v>33.429933865959384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1.6048536570291958</v>
      </c>
      <c r="AH766" s="304">
        <f t="shared" ca="1" si="347"/>
        <v>-8.1849545214986481</v>
      </c>
    </row>
    <row r="767" spans="1:34" x14ac:dyDescent="0.2">
      <c r="A767" s="347">
        <f t="shared" ca="1" si="325"/>
        <v>1E-4</v>
      </c>
      <c r="B767" s="304">
        <f t="shared" ca="1" si="326"/>
        <v>41.623300000001066</v>
      </c>
      <c r="D767" s="306">
        <f t="shared" ca="1" si="327"/>
        <v>-0.52487927307701088</v>
      </c>
      <c r="E767" s="307">
        <f t="shared" ca="1" si="328"/>
        <v>-1.6418619185403323</v>
      </c>
      <c r="F767" s="304">
        <f t="shared" ca="1" si="329"/>
        <v>1.7237194698844682</v>
      </c>
      <c r="G767" s="306">
        <f t="shared" ca="1" si="330"/>
        <v>8.761844140109833</v>
      </c>
      <c r="H767" s="307">
        <f t="shared" ca="1" si="331"/>
        <v>-136.35224586342497</v>
      </c>
      <c r="I767" s="304">
        <f t="shared" ca="1" si="332"/>
        <v>136.6334690503592</v>
      </c>
      <c r="J767" s="306">
        <f t="shared" ca="1" si="333"/>
        <v>712.18513894933824</v>
      </c>
      <c r="K767" s="307">
        <f t="shared" ca="1" si="334"/>
        <v>-9.8720987929822837</v>
      </c>
      <c r="L767" s="304">
        <f t="shared" ca="1" si="319"/>
        <v>712.25355771302861</v>
      </c>
      <c r="M767" s="306">
        <f t="shared" ca="1" si="335"/>
        <v>-1.5066256630984631</v>
      </c>
      <c r="N767" s="304">
        <f t="shared" ca="1" si="336"/>
        <v>-86.323291801640991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4.0843000000000034</v>
      </c>
      <c r="T767" s="304">
        <f t="shared" ca="1" si="320"/>
        <v>40.066983000000036</v>
      </c>
      <c r="U767" s="311">
        <f t="shared" ca="1" si="321"/>
        <v>0</v>
      </c>
      <c r="V767" s="306">
        <f t="shared" ca="1" si="322"/>
        <v>1.2262099293292337</v>
      </c>
      <c r="W767" s="304">
        <f t="shared" ca="1" si="323"/>
        <v>33.430057978712455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1.6048235586532709</v>
      </c>
      <c r="AH767" s="304">
        <f t="shared" ca="1" si="347"/>
        <v>-8.1849849095216705</v>
      </c>
    </row>
    <row r="768" spans="1:34" x14ac:dyDescent="0.2">
      <c r="A768" s="347">
        <f t="shared" ca="1" si="325"/>
        <v>1E-4</v>
      </c>
      <c r="B768" s="304">
        <f t="shared" ca="1" si="326"/>
        <v>41.62340000000107</v>
      </c>
      <c r="D768" s="306">
        <f t="shared" ca="1" si="327"/>
        <v>-0.5248774609742044</v>
      </c>
      <c r="E768" s="307">
        <f t="shared" ca="1" si="328"/>
        <v>-1.6418313516556218</v>
      </c>
      <c r="F768" s="304">
        <f t="shared" ca="1" si="329"/>
        <v>1.7236898028119949</v>
      </c>
      <c r="G768" s="306">
        <f t="shared" ca="1" si="330"/>
        <v>8.7617916523637351</v>
      </c>
      <c r="H768" s="307">
        <f t="shared" ca="1" si="331"/>
        <v>-136.35241004656012</v>
      </c>
      <c r="I768" s="304">
        <f t="shared" ca="1" si="332"/>
        <v>136.63362952971974</v>
      </c>
      <c r="J768" s="306">
        <f t="shared" ca="1" si="333"/>
        <v>712.18513894933824</v>
      </c>
      <c r="K768" s="307">
        <f t="shared" ca="1" si="334"/>
        <v>-9.8857340257777828</v>
      </c>
      <c r="L768" s="304">
        <f t="shared" ca="1" si="319"/>
        <v>712.25374683290829</v>
      </c>
      <c r="M768" s="306">
        <f t="shared" ca="1" si="335"/>
        <v>-1.5066261235138516</v>
      </c>
      <c r="N768" s="304">
        <f t="shared" ca="1" si="336"/>
        <v>-86.323318181499573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4.0843000000000034</v>
      </c>
      <c r="T768" s="304">
        <f t="shared" ca="1" si="320"/>
        <v>40.066983000000036</v>
      </c>
      <c r="U768" s="311">
        <f t="shared" ca="1" si="321"/>
        <v>0</v>
      </c>
      <c r="V768" s="306">
        <f t="shared" ca="1" si="322"/>
        <v>1.226211601296566</v>
      </c>
      <c r="W768" s="304">
        <f t="shared" ca="1" si="323"/>
        <v>33.430182090416181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1.6047934605297769</v>
      </c>
      <c r="AH768" s="304">
        <f t="shared" ca="1" si="347"/>
        <v>-8.1850152972877677</v>
      </c>
    </row>
    <row r="769" spans="1:34" x14ac:dyDescent="0.2">
      <c r="A769" s="347">
        <f t="shared" ca="1" si="325"/>
        <v>1E-4</v>
      </c>
      <c r="B769" s="304">
        <f t="shared" ca="1" si="326"/>
        <v>41.623500000001073</v>
      </c>
      <c r="D769" s="306">
        <f t="shared" ca="1" si="327"/>
        <v>-0.52487564885825277</v>
      </c>
      <c r="E769" s="307">
        <f t="shared" ca="1" si="328"/>
        <v>-1.6418007850292557</v>
      </c>
      <c r="F769" s="304">
        <f t="shared" ca="1" si="329"/>
        <v>1.7236601360149433</v>
      </c>
      <c r="G769" s="306">
        <f t="shared" ca="1" si="330"/>
        <v>8.7617391647988487</v>
      </c>
      <c r="H769" s="307">
        <f t="shared" ca="1" si="331"/>
        <v>-136.35257422663864</v>
      </c>
      <c r="I769" s="304">
        <f t="shared" ca="1" si="332"/>
        <v>136.63379000607051</v>
      </c>
      <c r="J769" s="306">
        <f t="shared" ca="1" si="333"/>
        <v>712.18513894933824</v>
      </c>
      <c r="K769" s="307">
        <f t="shared" ca="1" si="334"/>
        <v>-9.899369274991443</v>
      </c>
      <c r="L769" s="304">
        <f t="shared" ca="1" si="319"/>
        <v>712.25393621399587</v>
      </c>
      <c r="M769" s="306">
        <f t="shared" ca="1" si="335"/>
        <v>-1.5066265839254007</v>
      </c>
      <c r="N769" s="304">
        <f t="shared" ca="1" si="336"/>
        <v>-86.323344561138185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4.0843000000000034</v>
      </c>
      <c r="T769" s="304">
        <f t="shared" ca="1" si="320"/>
        <v>40.066983000000036</v>
      </c>
      <c r="U769" s="311">
        <f t="shared" ca="1" si="321"/>
        <v>0</v>
      </c>
      <c r="V769" s="306">
        <f t="shared" ca="1" si="322"/>
        <v>1.2262132732681921</v>
      </c>
      <c r="W769" s="304">
        <f t="shared" ca="1" si="323"/>
        <v>33.430306201070543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1.6047633626587139</v>
      </c>
      <c r="AH769" s="304">
        <f t="shared" ca="1" si="347"/>
        <v>-8.1850456847969433</v>
      </c>
    </row>
    <row r="770" spans="1:34" x14ac:dyDescent="0.2">
      <c r="A770" s="347">
        <f t="shared" ca="1" si="325"/>
        <v>1E-4</v>
      </c>
      <c r="B770" s="304">
        <f t="shared" ca="1" si="326"/>
        <v>41.623600000001076</v>
      </c>
      <c r="D770" s="306">
        <f t="shared" ca="1" si="327"/>
        <v>-0.524873836729151</v>
      </c>
      <c r="E770" s="307">
        <f t="shared" ca="1" si="328"/>
        <v>-1.6417702186612413</v>
      </c>
      <c r="F770" s="304">
        <f t="shared" ca="1" si="329"/>
        <v>1.7236304694933191</v>
      </c>
      <c r="G770" s="306">
        <f t="shared" ca="1" si="330"/>
        <v>8.7616866774151756</v>
      </c>
      <c r="H770" s="307">
        <f t="shared" ca="1" si="331"/>
        <v>-136.35273840366051</v>
      </c>
      <c r="I770" s="304">
        <f t="shared" ca="1" si="332"/>
        <v>136.63395047941148</v>
      </c>
      <c r="J770" s="306">
        <f t="shared" ca="1" si="333"/>
        <v>712.18513894933824</v>
      </c>
      <c r="K770" s="307">
        <f t="shared" ca="1" si="334"/>
        <v>-9.9130045406229588</v>
      </c>
      <c r="L770" s="304">
        <f t="shared" ca="1" si="319"/>
        <v>712.25412585629203</v>
      </c>
      <c r="M770" s="306">
        <f t="shared" ca="1" si="335"/>
        <v>-1.5066270443331102</v>
      </c>
      <c r="N770" s="304">
        <f t="shared" ca="1" si="336"/>
        <v>-86.323370940556785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4.0843000000000034</v>
      </c>
      <c r="T770" s="304">
        <f t="shared" ca="1" si="320"/>
        <v>40.066983000000036</v>
      </c>
      <c r="U770" s="311">
        <f t="shared" ca="1" si="321"/>
        <v>0</v>
      </c>
      <c r="V770" s="306">
        <f t="shared" ca="1" si="322"/>
        <v>1.2262149452441125</v>
      </c>
      <c r="W770" s="304">
        <f t="shared" ca="1" si="323"/>
        <v>33.43043031067554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1.6047332650400907</v>
      </c>
      <c r="AH770" s="304">
        <f t="shared" ca="1" si="347"/>
        <v>-8.185076072049192</v>
      </c>
    </row>
    <row r="771" spans="1:34" x14ac:dyDescent="0.2">
      <c r="A771" s="347">
        <f t="shared" ca="1" si="325"/>
        <v>1E-4</v>
      </c>
      <c r="B771" s="304">
        <f t="shared" ca="1" si="326"/>
        <v>41.62370000000108</v>
      </c>
      <c r="D771" s="306">
        <f t="shared" ca="1" si="327"/>
        <v>-0.52487202458690163</v>
      </c>
      <c r="E771" s="307">
        <f t="shared" ca="1" si="328"/>
        <v>-1.6417396525515731</v>
      </c>
      <c r="F771" s="304">
        <f t="shared" ca="1" si="329"/>
        <v>1.7236008032471188</v>
      </c>
      <c r="G771" s="306">
        <f t="shared" ca="1" si="330"/>
        <v>8.7616341902127175</v>
      </c>
      <c r="H771" s="307">
        <f t="shared" ca="1" si="331"/>
        <v>-136.35290257762577</v>
      </c>
      <c r="I771" s="304">
        <f t="shared" ca="1" si="332"/>
        <v>136.63411094974276</v>
      </c>
      <c r="J771" s="306">
        <f t="shared" ca="1" si="333"/>
        <v>712.18513894933824</v>
      </c>
      <c r="K771" s="307">
        <f t="shared" ca="1" si="334"/>
        <v>-9.9266398226720227</v>
      </c>
      <c r="L771" s="304">
        <f t="shared" ca="1" si="319"/>
        <v>712.25431575979746</v>
      </c>
      <c r="M771" s="306">
        <f t="shared" ca="1" si="335"/>
        <v>-1.5066275047369801</v>
      </c>
      <c r="N771" s="304">
        <f t="shared" ca="1" si="336"/>
        <v>-86.323397319755401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4.0843000000000034</v>
      </c>
      <c r="T771" s="304">
        <f t="shared" ca="1" si="320"/>
        <v>40.066983000000036</v>
      </c>
      <c r="U771" s="311">
        <f t="shared" ca="1" si="321"/>
        <v>0</v>
      </c>
      <c r="V771" s="306">
        <f t="shared" ca="1" si="322"/>
        <v>1.2262166172243267</v>
      </c>
      <c r="W771" s="304">
        <f t="shared" ca="1" si="323"/>
        <v>33.4305544192312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1.6047031676738985</v>
      </c>
      <c r="AH771" s="304">
        <f t="shared" ca="1" si="347"/>
        <v>-8.1851064590445155</v>
      </c>
    </row>
    <row r="772" spans="1:34" x14ac:dyDescent="0.2">
      <c r="A772" s="347">
        <f t="shared" ca="1" si="325"/>
        <v>1E-4</v>
      </c>
      <c r="B772" s="304">
        <f t="shared" ca="1" si="326"/>
        <v>41.623800000001083</v>
      </c>
      <c r="D772" s="306">
        <f t="shared" ca="1" si="327"/>
        <v>-0.52487021243150567</v>
      </c>
      <c r="E772" s="307">
        <f t="shared" ca="1" si="328"/>
        <v>-1.6417090867002528</v>
      </c>
      <c r="F772" s="304">
        <f t="shared" ca="1" si="329"/>
        <v>1.7235711372763447</v>
      </c>
      <c r="G772" s="306">
        <f t="shared" ca="1" si="330"/>
        <v>8.7615817031914744</v>
      </c>
      <c r="H772" s="307">
        <f t="shared" ca="1" si="331"/>
        <v>-136.35306674853445</v>
      </c>
      <c r="I772" s="304">
        <f t="shared" ca="1" si="332"/>
        <v>136.63427141706427</v>
      </c>
      <c r="J772" s="306">
        <f t="shared" ca="1" si="333"/>
        <v>712.18513894933824</v>
      </c>
      <c r="K772" s="307">
        <f t="shared" ca="1" si="334"/>
        <v>-9.9402751211383311</v>
      </c>
      <c r="L772" s="304">
        <f t="shared" ref="L772:L835" ca="1" si="348">SQRT(pos_x^2+pos_z^2)</f>
        <v>712.25450592451307</v>
      </c>
      <c r="M772" s="306">
        <f t="shared" ca="1" si="335"/>
        <v>-1.5066279651370105</v>
      </c>
      <c r="N772" s="304">
        <f t="shared" ca="1" si="336"/>
        <v>-86.323423698734032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4.0843000000000034</v>
      </c>
      <c r="T772" s="304">
        <f t="shared" ref="T772:T835" ca="1" si="349">m*g</f>
        <v>40.066983000000036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1.2262182892088351</v>
      </c>
      <c r="W772" s="304">
        <f t="shared" ref="W772:W835" ca="1" si="352">1/2*Rho*Sref*Cx*vit_xz^2</f>
        <v>33.430678526737495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1.6046730705601391</v>
      </c>
      <c r="AH772" s="304">
        <f t="shared" ca="1" si="347"/>
        <v>-8.1851368457829174</v>
      </c>
    </row>
    <row r="773" spans="1:34" x14ac:dyDescent="0.2">
      <c r="A773" s="347">
        <f t="shared" ref="A773:A836" ca="1" si="354">IF(B772+0.01&lt;=T_ini+ROUNDUP(Temps_fin_propu,0), 0.01, IF(K772&gt;0, 0.1, 0.0001))</f>
        <v>1E-4</v>
      </c>
      <c r="B773" s="304">
        <f t="shared" ref="B773:B836" ca="1" si="355">B772+pas</f>
        <v>41.623900000001086</v>
      </c>
      <c r="D773" s="306">
        <f t="shared" ref="D773:D836" ca="1" si="356">IF(AND(L772&lt;L_rampe,Poussee&lt;Poids*SIN(M772)),0,(-W772+Poussee)/m*COS(M772)-U772/m*SIN(M772))</f>
        <v>-0.52486840026296366</v>
      </c>
      <c r="E773" s="307">
        <f t="shared" ref="E773:E836" ca="1" si="357">IF(AND(L772&lt;L_rampe,Poussee&lt;Poids*SIN(M772)),0,(-W772+Poussee)/m*SIN(M772)+U772/m*COS(M772)-Poids/m)</f>
        <v>-1.6416785211072789</v>
      </c>
      <c r="F773" s="304">
        <f t="shared" ref="F773:F836" ca="1" si="358">SQRT(acc_x^2+acc_z^2)</f>
        <v>1.7235414715809958</v>
      </c>
      <c r="G773" s="306">
        <f t="shared" ref="G773:G836" ca="1" si="359">G772+acc_x*pas</f>
        <v>8.7615292163514482</v>
      </c>
      <c r="H773" s="307">
        <f t="shared" ref="H773:H836" ca="1" si="360">H772+acc_z*pas</f>
        <v>-136.35323091638656</v>
      </c>
      <c r="I773" s="304">
        <f t="shared" ref="I773:I836" ca="1" si="361">SQRT(vit_x^2+vit_z^2)</f>
        <v>136.63443188137614</v>
      </c>
      <c r="J773" s="306">
        <f t="shared" ref="J773:J836" ca="1" si="362">J772+0.5*(vit_x+G772)*pas*(K772&gt;=0)</f>
        <v>712.18513894933824</v>
      </c>
      <c r="K773" s="307">
        <f t="shared" ref="K773:K836" ca="1" si="363">K772+0.5*(vit_z+H772)*pas</f>
        <v>-9.9539104360215767</v>
      </c>
      <c r="L773" s="304">
        <f t="shared" ca="1" si="348"/>
        <v>712.2546963504393</v>
      </c>
      <c r="M773" s="306">
        <f t="shared" ref="M773:M836" ca="1" si="364">IF(AND(L772&gt;L_rampe,G773&gt;0),ATAN2(G773,H773),$M$4)</f>
        <v>-1.5066284255332014</v>
      </c>
      <c r="N773" s="304">
        <f t="shared" ref="N773:N836" ca="1" si="365">DEGREES(Beta)</f>
        <v>-86.32345007749268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4.0843000000000034</v>
      </c>
      <c r="T773" s="304">
        <f t="shared" ca="1" si="349"/>
        <v>40.066983000000036</v>
      </c>
      <c r="U773" s="311">
        <f t="shared" ca="1" si="350"/>
        <v>0</v>
      </c>
      <c r="V773" s="306">
        <f t="shared" ca="1" si="351"/>
        <v>1.2262199611976377</v>
      </c>
      <c r="W773" s="304">
        <f t="shared" ca="1" si="352"/>
        <v>33.430802633194446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1.6046429736988159</v>
      </c>
      <c r="AH773" s="304">
        <f t="shared" ref="AH773:AH836" ca="1" si="376">IF(AND(L772&lt;L_rampe,Poussee&lt;Poids*SIN(M772)), g*SIN(M772), (-W772+Poussee)/m)</f>
        <v>-8.1851672322643942</v>
      </c>
    </row>
    <row r="774" spans="1:34" x14ac:dyDescent="0.2">
      <c r="A774" s="347">
        <f t="shared" ca="1" si="354"/>
        <v>1E-4</v>
      </c>
      <c r="B774" s="304">
        <f t="shared" ca="1" si="355"/>
        <v>41.624000000001089</v>
      </c>
      <c r="D774" s="306">
        <f t="shared" ca="1" si="356"/>
        <v>-0.52486658808127473</v>
      </c>
      <c r="E774" s="307">
        <f t="shared" ca="1" si="357"/>
        <v>-1.6416479557726529</v>
      </c>
      <c r="F774" s="304">
        <f t="shared" ca="1" si="358"/>
        <v>1.7235118061610744</v>
      </c>
      <c r="G774" s="306">
        <f t="shared" ca="1" si="359"/>
        <v>8.7614767296926406</v>
      </c>
      <c r="H774" s="307">
        <f t="shared" ca="1" si="360"/>
        <v>-136.35339508118213</v>
      </c>
      <c r="I774" s="304">
        <f t="shared" ca="1" si="361"/>
        <v>136.63459234267833</v>
      </c>
      <c r="J774" s="306">
        <f t="shared" ca="1" si="362"/>
        <v>712.18513894933824</v>
      </c>
      <c r="K774" s="307">
        <f t="shared" ca="1" si="363"/>
        <v>-9.9675457673214556</v>
      </c>
      <c r="L774" s="304">
        <f t="shared" ca="1" si="348"/>
        <v>712.25488703757719</v>
      </c>
      <c r="M774" s="306">
        <f t="shared" ca="1" si="364"/>
        <v>-1.506628885925553</v>
      </c>
      <c r="N774" s="304">
        <f t="shared" ca="1" si="365"/>
        <v>-86.323476456031344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4.0843000000000034</v>
      </c>
      <c r="T774" s="304">
        <f t="shared" ca="1" si="349"/>
        <v>40.066983000000036</v>
      </c>
      <c r="U774" s="311">
        <f t="shared" ca="1" si="350"/>
        <v>0</v>
      </c>
      <c r="V774" s="306">
        <f t="shared" ca="1" si="351"/>
        <v>1.2262216331907341</v>
      </c>
      <c r="W774" s="304">
        <f t="shared" ca="1" si="352"/>
        <v>33.430926738602047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 t="e">
        <f t="shared" ca="1" si="373"/>
        <v>#N/A</v>
      </c>
      <c r="AD774" s="323" t="e">
        <f t="shared" ca="1" si="374"/>
        <v>#N/A</v>
      </c>
      <c r="AE774" s="324" t="e">
        <f t="shared" ca="1" si="353"/>
        <v>#N/A</v>
      </c>
      <c r="AG774" s="306">
        <f t="shared" ca="1" si="375"/>
        <v>1.6046128770899202</v>
      </c>
      <c r="AH774" s="304">
        <f t="shared" ca="1" si="376"/>
        <v>-8.1851976184889494</v>
      </c>
    </row>
    <row r="775" spans="1:34" x14ac:dyDescent="0.2">
      <c r="A775" s="347">
        <f t="shared" ca="1" si="354"/>
        <v>1E-4</v>
      </c>
      <c r="B775" s="304">
        <f t="shared" ca="1" si="355"/>
        <v>41.624100000001093</v>
      </c>
      <c r="D775" s="306">
        <f t="shared" ca="1" si="356"/>
        <v>-0.52486477588643932</v>
      </c>
      <c r="E775" s="307">
        <f t="shared" ca="1" si="357"/>
        <v>-1.6416173906963714</v>
      </c>
      <c r="F775" s="304">
        <f t="shared" ca="1" si="358"/>
        <v>1.7234821410165773</v>
      </c>
      <c r="G775" s="306">
        <f t="shared" ca="1" si="359"/>
        <v>8.7614242432150515</v>
      </c>
      <c r="H775" s="307">
        <f t="shared" ca="1" si="360"/>
        <v>-136.35355924292119</v>
      </c>
      <c r="I775" s="304">
        <f t="shared" ca="1" si="361"/>
        <v>136.63475280097086</v>
      </c>
      <c r="J775" s="306">
        <f t="shared" ca="1" si="362"/>
        <v>712.18513894933824</v>
      </c>
      <c r="K775" s="307">
        <f t="shared" ca="1" si="363"/>
        <v>-9.9811811150376606</v>
      </c>
      <c r="L775" s="304">
        <f t="shared" ca="1" si="348"/>
        <v>712.2550779859273</v>
      </c>
      <c r="M775" s="306">
        <f t="shared" ca="1" si="364"/>
        <v>-1.5066293463140652</v>
      </c>
      <c r="N775" s="304">
        <f t="shared" ca="1" si="365"/>
        <v>-86.323502834350023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4.0843000000000034</v>
      </c>
      <c r="T775" s="304">
        <f t="shared" ca="1" si="349"/>
        <v>40.066983000000036</v>
      </c>
      <c r="U775" s="311">
        <f t="shared" ca="1" si="350"/>
        <v>0</v>
      </c>
      <c r="V775" s="306">
        <f t="shared" ca="1" si="351"/>
        <v>1.2262233051881244</v>
      </c>
      <c r="W775" s="304">
        <f t="shared" ca="1" si="352"/>
        <v>33.431050842960275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1.6045827807334589</v>
      </c>
      <c r="AH775" s="304">
        <f t="shared" ca="1" si="376"/>
        <v>-8.1852280044565831</v>
      </c>
    </row>
    <row r="776" spans="1:34" x14ac:dyDescent="0.2">
      <c r="A776" s="347">
        <f t="shared" ca="1" si="354"/>
        <v>1E-4</v>
      </c>
      <c r="B776" s="304">
        <f t="shared" ca="1" si="355"/>
        <v>41.624200000001096</v>
      </c>
      <c r="D776" s="306">
        <f t="shared" ca="1" si="356"/>
        <v>-0.52486296367845786</v>
      </c>
      <c r="E776" s="307">
        <f t="shared" ca="1" si="357"/>
        <v>-1.6415868258784432</v>
      </c>
      <c r="F776" s="304">
        <f t="shared" ca="1" si="358"/>
        <v>1.7234524761475136</v>
      </c>
      <c r="G776" s="306">
        <f t="shared" ca="1" si="359"/>
        <v>8.7613717569186829</v>
      </c>
      <c r="H776" s="307">
        <f t="shared" ca="1" si="360"/>
        <v>-136.35372340160379</v>
      </c>
      <c r="I776" s="304">
        <f t="shared" ca="1" si="361"/>
        <v>136.63491325625381</v>
      </c>
      <c r="J776" s="306">
        <f t="shared" ca="1" si="362"/>
        <v>712.18513894933824</v>
      </c>
      <c r="K776" s="307">
        <f t="shared" ca="1" si="363"/>
        <v>-9.9948164791698861</v>
      </c>
      <c r="L776" s="304">
        <f t="shared" ca="1" si="348"/>
        <v>712.25526919549043</v>
      </c>
      <c r="M776" s="306">
        <f t="shared" ca="1" si="364"/>
        <v>-1.506629806698738</v>
      </c>
      <c r="N776" s="304">
        <f t="shared" ca="1" si="365"/>
        <v>-86.323529212448733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4.0843000000000034</v>
      </c>
      <c r="T776" s="304">
        <f t="shared" ca="1" si="349"/>
        <v>40.066983000000036</v>
      </c>
      <c r="U776" s="311">
        <f t="shared" ca="1" si="350"/>
        <v>0</v>
      </c>
      <c r="V776" s="306">
        <f t="shared" ca="1" si="351"/>
        <v>1.2262249771898086</v>
      </c>
      <c r="W776" s="304">
        <f t="shared" ca="1" si="352"/>
        <v>33.431174946269188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1.6045526846294358</v>
      </c>
      <c r="AH776" s="304">
        <f t="shared" ca="1" si="376"/>
        <v>-8.1852583901672862</v>
      </c>
    </row>
    <row r="777" spans="1:34" x14ac:dyDescent="0.2">
      <c r="A777" s="347">
        <f t="shared" ca="1" si="354"/>
        <v>1E-4</v>
      </c>
      <c r="B777" s="304">
        <f t="shared" ca="1" si="355"/>
        <v>41.624300000001099</v>
      </c>
      <c r="D777" s="306">
        <f t="shared" ca="1" si="356"/>
        <v>-0.52486115145733203</v>
      </c>
      <c r="E777" s="307">
        <f t="shared" ca="1" si="357"/>
        <v>-1.6415562613188523</v>
      </c>
      <c r="F777" s="304">
        <f t="shared" ca="1" si="358"/>
        <v>1.7234228115538694</v>
      </c>
      <c r="G777" s="306">
        <f t="shared" ca="1" si="359"/>
        <v>8.7613192708035363</v>
      </c>
      <c r="H777" s="307">
        <f t="shared" ca="1" si="360"/>
        <v>-136.35388755722991</v>
      </c>
      <c r="I777" s="304">
        <f t="shared" ca="1" si="361"/>
        <v>136.63507370852719</v>
      </c>
      <c r="J777" s="306">
        <f t="shared" ca="1" si="362"/>
        <v>712.18513894933824</v>
      </c>
      <c r="K777" s="307">
        <f t="shared" ca="1" si="363"/>
        <v>-10.008451859717828</v>
      </c>
      <c r="L777" s="304">
        <f t="shared" ca="1" si="348"/>
        <v>712.25546066626725</v>
      </c>
      <c r="M777" s="306">
        <f t="shared" ca="1" si="364"/>
        <v>-1.5066302670795717</v>
      </c>
      <c r="N777" s="304">
        <f t="shared" ca="1" si="365"/>
        <v>-86.323555590327473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4.0843000000000034</v>
      </c>
      <c r="T777" s="304">
        <f t="shared" ca="1" si="349"/>
        <v>40.066983000000036</v>
      </c>
      <c r="U777" s="311">
        <f t="shared" ca="1" si="350"/>
        <v>0</v>
      </c>
      <c r="V777" s="306">
        <f t="shared" ca="1" si="351"/>
        <v>1.2262266491957867</v>
      </c>
      <c r="W777" s="304">
        <f t="shared" ca="1" si="352"/>
        <v>33.43129904852875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1.6045225887778347</v>
      </c>
      <c r="AH777" s="304">
        <f t="shared" ca="1" si="376"/>
        <v>-8.1852887756210766</v>
      </c>
    </row>
    <row r="778" spans="1:34" x14ac:dyDescent="0.2">
      <c r="A778" s="347">
        <f t="shared" ca="1" si="354"/>
        <v>1E-4</v>
      </c>
      <c r="B778" s="304">
        <f t="shared" ca="1" si="355"/>
        <v>41.624400000001103</v>
      </c>
      <c r="D778" s="306">
        <f t="shared" ca="1" si="356"/>
        <v>-0.52485933922305994</v>
      </c>
      <c r="E778" s="307">
        <f t="shared" ca="1" si="357"/>
        <v>-1.6415256970176095</v>
      </c>
      <c r="F778" s="304">
        <f t="shared" ca="1" si="358"/>
        <v>1.723393147235655</v>
      </c>
      <c r="G778" s="306">
        <f t="shared" ca="1" si="359"/>
        <v>8.7612667848696137</v>
      </c>
      <c r="H778" s="307">
        <f t="shared" ca="1" si="360"/>
        <v>-136.35405170979962</v>
      </c>
      <c r="I778" s="304">
        <f t="shared" ca="1" si="361"/>
        <v>136.63523415779096</v>
      </c>
      <c r="J778" s="306">
        <f t="shared" ca="1" si="362"/>
        <v>712.18513894933824</v>
      </c>
      <c r="K778" s="307">
        <f t="shared" ca="1" si="363"/>
        <v>-10.02208725668118</v>
      </c>
      <c r="L778" s="304">
        <f t="shared" ca="1" si="348"/>
        <v>712.25565239825846</v>
      </c>
      <c r="M778" s="306">
        <f t="shared" ca="1" si="364"/>
        <v>-1.5066307274565662</v>
      </c>
      <c r="N778" s="304">
        <f t="shared" ca="1" si="365"/>
        <v>-86.323581967986243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4.0843000000000034</v>
      </c>
      <c r="T778" s="304">
        <f t="shared" ca="1" si="349"/>
        <v>40.066983000000036</v>
      </c>
      <c r="U778" s="311">
        <f t="shared" ca="1" si="350"/>
        <v>0</v>
      </c>
      <c r="V778" s="306">
        <f t="shared" ca="1" si="351"/>
        <v>1.226228321206059</v>
      </c>
      <c r="W778" s="304">
        <f t="shared" ca="1" si="352"/>
        <v>33.431423149738961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1.6044924931786717</v>
      </c>
      <c r="AH778" s="304">
        <f t="shared" ca="1" si="376"/>
        <v>-8.1853191608179419</v>
      </c>
    </row>
    <row r="779" spans="1:34" x14ac:dyDescent="0.2">
      <c r="A779" s="347">
        <f t="shared" ca="1" si="354"/>
        <v>1E-4</v>
      </c>
      <c r="B779" s="304">
        <f t="shared" ca="1" si="355"/>
        <v>41.624500000001106</v>
      </c>
      <c r="D779" s="306">
        <f t="shared" ca="1" si="356"/>
        <v>-0.5248575269756427</v>
      </c>
      <c r="E779" s="307">
        <f t="shared" ca="1" si="357"/>
        <v>-1.6414951329747112</v>
      </c>
      <c r="F779" s="304">
        <f t="shared" ca="1" si="358"/>
        <v>1.7233634831928673</v>
      </c>
      <c r="G779" s="306">
        <f t="shared" ca="1" si="359"/>
        <v>8.7612142991169168</v>
      </c>
      <c r="H779" s="307">
        <f t="shared" ca="1" si="360"/>
        <v>-136.35421585931292</v>
      </c>
      <c r="I779" s="304">
        <f t="shared" ca="1" si="361"/>
        <v>136.63539460404522</v>
      </c>
      <c r="J779" s="306">
        <f t="shared" ca="1" si="362"/>
        <v>712.18513894933824</v>
      </c>
      <c r="K779" s="307">
        <f t="shared" ca="1" si="363"/>
        <v>-10.035722670059636</v>
      </c>
      <c r="L779" s="304">
        <f t="shared" ca="1" si="348"/>
        <v>712.25584439146485</v>
      </c>
      <c r="M779" s="306">
        <f t="shared" ca="1" si="364"/>
        <v>-1.5066311878297214</v>
      </c>
      <c r="N779" s="304">
        <f t="shared" ca="1" si="365"/>
        <v>-86.323608345425029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4.0843000000000034</v>
      </c>
      <c r="T779" s="304">
        <f t="shared" ca="1" si="349"/>
        <v>40.066983000000036</v>
      </c>
      <c r="U779" s="311">
        <f t="shared" ca="1" si="350"/>
        <v>0</v>
      </c>
      <c r="V779" s="306">
        <f t="shared" ca="1" si="351"/>
        <v>1.2262299932206246</v>
      </c>
      <c r="W779" s="304">
        <f t="shared" ca="1" si="352"/>
        <v>33.431547249899822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1.6044623978319397</v>
      </c>
      <c r="AH779" s="304">
        <f t="shared" ca="1" si="376"/>
        <v>-8.1853495457578855</v>
      </c>
    </row>
    <row r="780" spans="1:34" x14ac:dyDescent="0.2">
      <c r="A780" s="347">
        <f t="shared" ca="1" si="354"/>
        <v>1E-4</v>
      </c>
      <c r="B780" s="304">
        <f t="shared" ca="1" si="355"/>
        <v>41.624600000001109</v>
      </c>
      <c r="D780" s="306">
        <f t="shared" ca="1" si="356"/>
        <v>-0.52485571471508252</v>
      </c>
      <c r="E780" s="307">
        <f t="shared" ca="1" si="357"/>
        <v>-1.6414645691901608</v>
      </c>
      <c r="F780" s="304">
        <f t="shared" ca="1" si="358"/>
        <v>1.7233338194255112</v>
      </c>
      <c r="G780" s="306">
        <f t="shared" ca="1" si="359"/>
        <v>8.7611618135454457</v>
      </c>
      <c r="H780" s="307">
        <f t="shared" ca="1" si="360"/>
        <v>-136.35438000576983</v>
      </c>
      <c r="I780" s="304">
        <f t="shared" ca="1" si="361"/>
        <v>136.63555504728998</v>
      </c>
      <c r="J780" s="306">
        <f t="shared" ca="1" si="362"/>
        <v>712.18513894933824</v>
      </c>
      <c r="K780" s="307">
        <f t="shared" ca="1" si="363"/>
        <v>-10.04935809985289</v>
      </c>
      <c r="L780" s="304">
        <f t="shared" ca="1" si="348"/>
        <v>712.25603664588709</v>
      </c>
      <c r="M780" s="306">
        <f t="shared" ca="1" si="364"/>
        <v>-1.5066316481990376</v>
      </c>
      <c r="N780" s="304">
        <f t="shared" ca="1" si="365"/>
        <v>-86.323634722643874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4.0843000000000034</v>
      </c>
      <c r="T780" s="304">
        <f t="shared" ca="1" si="349"/>
        <v>40.066983000000036</v>
      </c>
      <c r="U780" s="311">
        <f t="shared" ca="1" si="350"/>
        <v>0</v>
      </c>
      <c r="V780" s="306">
        <f t="shared" ca="1" si="351"/>
        <v>1.2262316652394845</v>
      </c>
      <c r="W780" s="304">
        <f t="shared" ca="1" si="352"/>
        <v>33.431671349011367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1.6044323027376404</v>
      </c>
      <c r="AH780" s="304">
        <f t="shared" ca="1" si="376"/>
        <v>-8.1853799304409058</v>
      </c>
    </row>
    <row r="781" spans="1:34" x14ac:dyDescent="0.2">
      <c r="A781" s="347">
        <f t="shared" ca="1" si="354"/>
        <v>1E-4</v>
      </c>
      <c r="B781" s="304">
        <f t="shared" ca="1" si="355"/>
        <v>41.624700000001113</v>
      </c>
      <c r="D781" s="306">
        <f t="shared" ca="1" si="356"/>
        <v>-0.5248539024413772</v>
      </c>
      <c r="E781" s="307">
        <f t="shared" ca="1" si="357"/>
        <v>-1.641434005663946</v>
      </c>
      <c r="F781" s="304">
        <f t="shared" ca="1" si="358"/>
        <v>1.7233041559335747</v>
      </c>
      <c r="G781" s="306">
        <f t="shared" ca="1" si="359"/>
        <v>8.7611093281552019</v>
      </c>
      <c r="H781" s="307">
        <f t="shared" ca="1" si="360"/>
        <v>-136.35454414917038</v>
      </c>
      <c r="I781" s="304">
        <f t="shared" ca="1" si="361"/>
        <v>136.63571548752523</v>
      </c>
      <c r="J781" s="306">
        <f t="shared" ca="1" si="362"/>
        <v>712.18513894933824</v>
      </c>
      <c r="K781" s="307">
        <f t="shared" ca="1" si="363"/>
        <v>-10.062993546060637</v>
      </c>
      <c r="L781" s="304">
        <f t="shared" ca="1" si="348"/>
        <v>712.25622916152599</v>
      </c>
      <c r="M781" s="306">
        <f t="shared" ca="1" si="364"/>
        <v>-1.5066321085645145</v>
      </c>
      <c r="N781" s="304">
        <f t="shared" ca="1" si="365"/>
        <v>-86.323661099642734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4.0843000000000034</v>
      </c>
      <c r="T781" s="304">
        <f t="shared" ca="1" si="349"/>
        <v>40.066983000000036</v>
      </c>
      <c r="U781" s="311">
        <f t="shared" ca="1" si="350"/>
        <v>0</v>
      </c>
      <c r="V781" s="306">
        <f t="shared" ca="1" si="351"/>
        <v>1.2262333372626382</v>
      </c>
      <c r="W781" s="304">
        <f t="shared" ca="1" si="352"/>
        <v>33.431795447073561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1.6044022078957632</v>
      </c>
      <c r="AH781" s="304">
        <f t="shared" ca="1" si="376"/>
        <v>-8.1854103148670134</v>
      </c>
    </row>
    <row r="782" spans="1:34" x14ac:dyDescent="0.2">
      <c r="A782" s="347">
        <f t="shared" ca="1" si="354"/>
        <v>1E-4</v>
      </c>
      <c r="B782" s="304">
        <f t="shared" ca="1" si="355"/>
        <v>41.624800000001116</v>
      </c>
      <c r="D782" s="306">
        <f t="shared" ca="1" si="356"/>
        <v>-0.52485209015453038</v>
      </c>
      <c r="E782" s="307">
        <f t="shared" ca="1" si="357"/>
        <v>-1.641403442396081</v>
      </c>
      <c r="F782" s="304">
        <f t="shared" ca="1" si="358"/>
        <v>1.7232744927170729</v>
      </c>
      <c r="G782" s="306">
        <f t="shared" ca="1" si="359"/>
        <v>8.7610568429461857</v>
      </c>
      <c r="H782" s="307">
        <f t="shared" ca="1" si="360"/>
        <v>-136.35470828951463</v>
      </c>
      <c r="I782" s="304">
        <f t="shared" ca="1" si="361"/>
        <v>136.63587592475105</v>
      </c>
      <c r="J782" s="306">
        <f t="shared" ca="1" si="362"/>
        <v>712.18513894933824</v>
      </c>
      <c r="K782" s="307">
        <f t="shared" ca="1" si="363"/>
        <v>-10.076629008682572</v>
      </c>
      <c r="L782" s="304">
        <f t="shared" ca="1" si="348"/>
        <v>712.25642193838235</v>
      </c>
      <c r="M782" s="306">
        <f t="shared" ca="1" si="364"/>
        <v>-1.5066325689261526</v>
      </c>
      <c r="N782" s="304">
        <f t="shared" ca="1" si="365"/>
        <v>-86.32368747642164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4.0843000000000034</v>
      </c>
      <c r="T782" s="304">
        <f t="shared" ca="1" si="349"/>
        <v>40.066983000000036</v>
      </c>
      <c r="U782" s="311">
        <f t="shared" ca="1" si="350"/>
        <v>0</v>
      </c>
      <c r="V782" s="306">
        <f t="shared" ca="1" si="351"/>
        <v>1.2262350092900858</v>
      </c>
      <c r="W782" s="304">
        <f t="shared" ca="1" si="352"/>
        <v>33.431919544086426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1.6043721133063222</v>
      </c>
      <c r="AH782" s="304">
        <f t="shared" ca="1" si="376"/>
        <v>-8.1854406990361959</v>
      </c>
    </row>
    <row r="783" spans="1:34" x14ac:dyDescent="0.2">
      <c r="A783" s="347">
        <f t="shared" ca="1" si="354"/>
        <v>1E-4</v>
      </c>
      <c r="B783" s="304">
        <f t="shared" ca="1" si="355"/>
        <v>41.624900000001119</v>
      </c>
      <c r="D783" s="306">
        <f t="shared" ca="1" si="356"/>
        <v>-0.52485027785453764</v>
      </c>
      <c r="E783" s="307">
        <f t="shared" ca="1" si="357"/>
        <v>-1.6413728793865587</v>
      </c>
      <c r="F783" s="304">
        <f t="shared" ca="1" si="358"/>
        <v>1.7232448297759979</v>
      </c>
      <c r="G783" s="306">
        <f t="shared" ca="1" si="359"/>
        <v>8.7610043579184005</v>
      </c>
      <c r="H783" s="307">
        <f t="shared" ca="1" si="360"/>
        <v>-136.35487242680256</v>
      </c>
      <c r="I783" s="304">
        <f t="shared" ca="1" si="361"/>
        <v>136.6360363589674</v>
      </c>
      <c r="J783" s="306">
        <f t="shared" ca="1" si="362"/>
        <v>712.18513894933824</v>
      </c>
      <c r="K783" s="307">
        <f t="shared" ca="1" si="363"/>
        <v>-10.090264487718388</v>
      </c>
      <c r="L783" s="304">
        <f t="shared" ca="1" si="348"/>
        <v>712.2566149764566</v>
      </c>
      <c r="M783" s="306">
        <f t="shared" ca="1" si="364"/>
        <v>-1.5066330292839516</v>
      </c>
      <c r="N783" s="304">
        <f t="shared" ca="1" si="365"/>
        <v>-86.323713852980589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4.0843000000000034</v>
      </c>
      <c r="T783" s="304">
        <f t="shared" ca="1" si="349"/>
        <v>40.066983000000036</v>
      </c>
      <c r="U783" s="311">
        <f t="shared" ca="1" si="350"/>
        <v>0</v>
      </c>
      <c r="V783" s="306">
        <f t="shared" ca="1" si="351"/>
        <v>1.2262366813218266</v>
      </c>
      <c r="W783" s="304">
        <f t="shared" ca="1" si="352"/>
        <v>33.432043640049947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1.6043420189693105</v>
      </c>
      <c r="AH783" s="304">
        <f t="shared" ca="1" si="376"/>
        <v>-8.1854710829484603</v>
      </c>
    </row>
    <row r="784" spans="1:34" x14ac:dyDescent="0.2">
      <c r="A784" s="347">
        <f t="shared" ca="1" si="354"/>
        <v>1E-4</v>
      </c>
      <c r="B784" s="304">
        <f t="shared" ca="1" si="355"/>
        <v>41.625000000001123</v>
      </c>
      <c r="D784" s="306">
        <f t="shared" ca="1" si="356"/>
        <v>-0.52484846554140319</v>
      </c>
      <c r="E784" s="307">
        <f t="shared" ca="1" si="357"/>
        <v>-1.6413423166353773</v>
      </c>
      <c r="F784" s="304">
        <f t="shared" ca="1" si="358"/>
        <v>1.7232151671103504</v>
      </c>
      <c r="G784" s="306">
        <f t="shared" ca="1" si="359"/>
        <v>8.7609518730718463</v>
      </c>
      <c r="H784" s="307">
        <f t="shared" ca="1" si="360"/>
        <v>-136.35503656103421</v>
      </c>
      <c r="I784" s="304">
        <f t="shared" ca="1" si="361"/>
        <v>136.63619679017438</v>
      </c>
      <c r="J784" s="306">
        <f t="shared" ca="1" si="362"/>
        <v>712.18513894933824</v>
      </c>
      <c r="K784" s="307">
        <f t="shared" ca="1" si="363"/>
        <v>-10.10389998316778</v>
      </c>
      <c r="L784" s="304">
        <f t="shared" ca="1" si="348"/>
        <v>712.25680827574968</v>
      </c>
      <c r="M784" s="306">
        <f t="shared" ca="1" si="364"/>
        <v>-1.5066334896379117</v>
      </c>
      <c r="N784" s="304">
        <f t="shared" ca="1" si="365"/>
        <v>-86.323740229319583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4.0843000000000034</v>
      </c>
      <c r="T784" s="304">
        <f t="shared" ca="1" si="349"/>
        <v>40.066983000000036</v>
      </c>
      <c r="U784" s="311">
        <f t="shared" ca="1" si="350"/>
        <v>0</v>
      </c>
      <c r="V784" s="306">
        <f t="shared" ca="1" si="351"/>
        <v>1.2262383533578618</v>
      </c>
      <c r="W784" s="304">
        <f t="shared" ca="1" si="352"/>
        <v>33.432167734964146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 t="e">
        <f t="shared" ca="1" si="373"/>
        <v>#N/A</v>
      </c>
      <c r="AD784" s="323" t="e">
        <f t="shared" ca="1" si="374"/>
        <v>#N/A</v>
      </c>
      <c r="AE784" s="324" t="e">
        <f t="shared" ca="1" si="353"/>
        <v>#N/A</v>
      </c>
      <c r="AG784" s="306">
        <f t="shared" ca="1" si="375"/>
        <v>1.604311924884728</v>
      </c>
      <c r="AH784" s="304">
        <f t="shared" ca="1" si="376"/>
        <v>-8.1855014666038048</v>
      </c>
    </row>
    <row r="785" spans="1:34" x14ac:dyDescent="0.2">
      <c r="A785" s="347">
        <f t="shared" ca="1" si="354"/>
        <v>1E-4</v>
      </c>
      <c r="B785" s="304">
        <f t="shared" ca="1" si="355"/>
        <v>41.625100000001126</v>
      </c>
      <c r="D785" s="306">
        <f t="shared" ca="1" si="356"/>
        <v>-0.52484665321512636</v>
      </c>
      <c r="E785" s="307">
        <f t="shared" ca="1" si="357"/>
        <v>-1.6413117541425386</v>
      </c>
      <c r="F785" s="304">
        <f t="shared" ca="1" si="358"/>
        <v>1.7231855047201319</v>
      </c>
      <c r="G785" s="306">
        <f t="shared" ca="1" si="359"/>
        <v>8.7608993884065249</v>
      </c>
      <c r="H785" s="307">
        <f t="shared" ca="1" si="360"/>
        <v>-136.35520069220962</v>
      </c>
      <c r="I785" s="304">
        <f t="shared" ca="1" si="361"/>
        <v>136.63635721837196</v>
      </c>
      <c r="J785" s="306">
        <f t="shared" ca="1" si="362"/>
        <v>712.18513894933824</v>
      </c>
      <c r="K785" s="307">
        <f t="shared" ca="1" si="363"/>
        <v>-10.117535495030442</v>
      </c>
      <c r="L785" s="304">
        <f t="shared" ca="1" si="348"/>
        <v>712.25700183626236</v>
      </c>
      <c r="M785" s="306">
        <f t="shared" ca="1" si="364"/>
        <v>-1.506633949988033</v>
      </c>
      <c r="N785" s="304">
        <f t="shared" ca="1" si="365"/>
        <v>-86.323766605438635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4.0843000000000034</v>
      </c>
      <c r="T785" s="304">
        <f t="shared" ca="1" si="349"/>
        <v>40.066983000000036</v>
      </c>
      <c r="U785" s="311">
        <f t="shared" ca="1" si="350"/>
        <v>0</v>
      </c>
      <c r="V785" s="306">
        <f t="shared" ca="1" si="351"/>
        <v>1.2262400253981904</v>
      </c>
      <c r="W785" s="304">
        <f t="shared" ca="1" si="352"/>
        <v>33.432291828829008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1.6042818310525711</v>
      </c>
      <c r="AH785" s="304">
        <f t="shared" ca="1" si="376"/>
        <v>-8.1855318500022332</v>
      </c>
    </row>
    <row r="786" spans="1:34" x14ac:dyDescent="0.2">
      <c r="A786" s="347">
        <f t="shared" ca="1" si="354"/>
        <v>1E-4</v>
      </c>
      <c r="B786" s="304">
        <f t="shared" ca="1" si="355"/>
        <v>41.625200000001129</v>
      </c>
      <c r="D786" s="306">
        <f t="shared" ca="1" si="356"/>
        <v>-0.52484484087570549</v>
      </c>
      <c r="E786" s="307">
        <f t="shared" ca="1" si="357"/>
        <v>-1.6412811919080426</v>
      </c>
      <c r="F786" s="304">
        <f t="shared" ca="1" si="358"/>
        <v>1.723155842605343</v>
      </c>
      <c r="G786" s="306">
        <f t="shared" ca="1" si="359"/>
        <v>8.7608469039224381</v>
      </c>
      <c r="H786" s="307">
        <f t="shared" ca="1" si="360"/>
        <v>-136.35536482032882</v>
      </c>
      <c r="I786" s="304">
        <f t="shared" ca="1" si="361"/>
        <v>136.63651764356018</v>
      </c>
      <c r="J786" s="306">
        <f t="shared" ca="1" si="362"/>
        <v>712.18513894933824</v>
      </c>
      <c r="K786" s="307">
        <f t="shared" ca="1" si="363"/>
        <v>-10.131171023306068</v>
      </c>
      <c r="L786" s="304">
        <f t="shared" ca="1" si="348"/>
        <v>712.25719565799523</v>
      </c>
      <c r="M786" s="306">
        <f t="shared" ca="1" si="364"/>
        <v>-1.5066344103343152</v>
      </c>
      <c r="N786" s="304">
        <f t="shared" ca="1" si="365"/>
        <v>-86.323792981337718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4.0843000000000034</v>
      </c>
      <c r="T786" s="304">
        <f t="shared" ca="1" si="349"/>
        <v>40.066983000000036</v>
      </c>
      <c r="U786" s="311">
        <f t="shared" ca="1" si="350"/>
        <v>0</v>
      </c>
      <c r="V786" s="306">
        <f t="shared" ca="1" si="351"/>
        <v>1.2262416974428128</v>
      </c>
      <c r="W786" s="304">
        <f t="shared" ca="1" si="352"/>
        <v>33.432415921644548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1.6042517374728469</v>
      </c>
      <c r="AH786" s="304">
        <f t="shared" ca="1" si="376"/>
        <v>-8.1855622331437417</v>
      </c>
    </row>
    <row r="787" spans="1:34" x14ac:dyDescent="0.2">
      <c r="A787" s="347">
        <f t="shared" ca="1" si="354"/>
        <v>1E-4</v>
      </c>
      <c r="B787" s="304">
        <f t="shared" ca="1" si="355"/>
        <v>41.625300000001133</v>
      </c>
      <c r="D787" s="306">
        <f t="shared" ca="1" si="356"/>
        <v>-0.52484302852314524</v>
      </c>
      <c r="E787" s="307">
        <f t="shared" ca="1" si="357"/>
        <v>-1.6412506299318874</v>
      </c>
      <c r="F787" s="304">
        <f t="shared" ca="1" si="358"/>
        <v>1.7231261807659832</v>
      </c>
      <c r="G787" s="306">
        <f t="shared" ca="1" si="359"/>
        <v>8.7607944196195859</v>
      </c>
      <c r="H787" s="307">
        <f t="shared" ca="1" si="360"/>
        <v>-136.3555289453918</v>
      </c>
      <c r="I787" s="304">
        <f t="shared" ca="1" si="361"/>
        <v>136.63667806573906</v>
      </c>
      <c r="J787" s="306">
        <f t="shared" ca="1" si="362"/>
        <v>712.18513894933824</v>
      </c>
      <c r="K787" s="307">
        <f t="shared" ca="1" si="363"/>
        <v>-10.144806567994355</v>
      </c>
      <c r="L787" s="304">
        <f t="shared" ca="1" si="348"/>
        <v>712.25738974094907</v>
      </c>
      <c r="M787" s="306">
        <f t="shared" ca="1" si="364"/>
        <v>-1.5066348706767589</v>
      </c>
      <c r="N787" s="304">
        <f t="shared" ca="1" si="365"/>
        <v>-86.323819357016873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4.0843000000000034</v>
      </c>
      <c r="T787" s="304">
        <f t="shared" ca="1" si="349"/>
        <v>40.066983000000036</v>
      </c>
      <c r="U787" s="311">
        <f t="shared" ca="1" si="350"/>
        <v>0</v>
      </c>
      <c r="V787" s="306">
        <f t="shared" ca="1" si="351"/>
        <v>1.2262433694917287</v>
      </c>
      <c r="W787" s="304">
        <f t="shared" ca="1" si="352"/>
        <v>33.432540013410758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1.6042216441455501</v>
      </c>
      <c r="AH787" s="304">
        <f t="shared" ca="1" si="376"/>
        <v>-8.1855926160283321</v>
      </c>
    </row>
    <row r="788" spans="1:34" x14ac:dyDescent="0.2">
      <c r="A788" s="347">
        <f t="shared" ca="1" si="354"/>
        <v>1E-4</v>
      </c>
      <c r="B788" s="304">
        <f t="shared" ca="1" si="355"/>
        <v>41.625400000001136</v>
      </c>
      <c r="D788" s="306">
        <f t="shared" ca="1" si="356"/>
        <v>-0.52484121615744117</v>
      </c>
      <c r="E788" s="307">
        <f t="shared" ca="1" si="357"/>
        <v>-1.6412200682140696</v>
      </c>
      <c r="F788" s="304">
        <f t="shared" ca="1" si="358"/>
        <v>1.7230965192020491</v>
      </c>
      <c r="G788" s="306">
        <f t="shared" ca="1" si="359"/>
        <v>8.7607419354979701</v>
      </c>
      <c r="H788" s="307">
        <f t="shared" ca="1" si="360"/>
        <v>-136.35569306739862</v>
      </c>
      <c r="I788" s="304">
        <f t="shared" ca="1" si="361"/>
        <v>136.63683848490865</v>
      </c>
      <c r="J788" s="306">
        <f t="shared" ca="1" si="362"/>
        <v>712.18513894933824</v>
      </c>
      <c r="K788" s="307">
        <f t="shared" ca="1" si="363"/>
        <v>-10.158442129094993</v>
      </c>
      <c r="L788" s="304">
        <f t="shared" ca="1" si="348"/>
        <v>712.25758408512468</v>
      </c>
      <c r="M788" s="306">
        <f t="shared" ca="1" si="364"/>
        <v>-1.5066353310153637</v>
      </c>
      <c r="N788" s="304">
        <f t="shared" ca="1" si="365"/>
        <v>-86.323845732476087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4.0843000000000034</v>
      </c>
      <c r="T788" s="304">
        <f t="shared" ca="1" si="349"/>
        <v>40.066983000000036</v>
      </c>
      <c r="U788" s="311">
        <f t="shared" ca="1" si="350"/>
        <v>0</v>
      </c>
      <c r="V788" s="306">
        <f t="shared" ca="1" si="351"/>
        <v>1.2262450415449382</v>
      </c>
      <c r="W788" s="304">
        <f t="shared" ca="1" si="352"/>
        <v>33.432664104127632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1.604191551070679</v>
      </c>
      <c r="AH788" s="304">
        <f t="shared" ca="1" si="376"/>
        <v>-8.1856229986560081</v>
      </c>
    </row>
    <row r="789" spans="1:34" x14ac:dyDescent="0.2">
      <c r="A789" s="347">
        <f t="shared" ca="1" si="354"/>
        <v>1E-4</v>
      </c>
      <c r="B789" s="304">
        <f t="shared" ca="1" si="355"/>
        <v>41.625500000001139</v>
      </c>
      <c r="D789" s="306">
        <f t="shared" ca="1" si="356"/>
        <v>-0.52483940377859706</v>
      </c>
      <c r="E789" s="307">
        <f t="shared" ca="1" si="357"/>
        <v>-1.6411895067545981</v>
      </c>
      <c r="F789" s="304">
        <f t="shared" ca="1" si="358"/>
        <v>1.7230668579135502</v>
      </c>
      <c r="G789" s="306">
        <f t="shared" ca="1" si="359"/>
        <v>8.7606894515575924</v>
      </c>
      <c r="H789" s="307">
        <f t="shared" ca="1" si="360"/>
        <v>-136.35585718634928</v>
      </c>
      <c r="I789" s="304">
        <f t="shared" ca="1" si="361"/>
        <v>136.63699890106895</v>
      </c>
      <c r="J789" s="306">
        <f t="shared" ca="1" si="362"/>
        <v>712.18513894933824</v>
      </c>
      <c r="K789" s="307">
        <f t="shared" ca="1" si="363"/>
        <v>-10.172077706607681</v>
      </c>
      <c r="L789" s="304">
        <f t="shared" ca="1" si="348"/>
        <v>712.25777869052263</v>
      </c>
      <c r="M789" s="306">
        <f t="shared" ca="1" si="364"/>
        <v>-1.5066357913501298</v>
      </c>
      <c r="N789" s="304">
        <f t="shared" ca="1" si="365"/>
        <v>-86.323872107715346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4.0843000000000034</v>
      </c>
      <c r="T789" s="304">
        <f t="shared" ca="1" si="349"/>
        <v>40.066983000000036</v>
      </c>
      <c r="U789" s="311">
        <f t="shared" ca="1" si="350"/>
        <v>0</v>
      </c>
      <c r="V789" s="306">
        <f t="shared" ca="1" si="351"/>
        <v>1.2262467136024415</v>
      </c>
      <c r="W789" s="304">
        <f t="shared" ca="1" si="352"/>
        <v>33.432788193795197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1.6041614582482406</v>
      </c>
      <c r="AH789" s="304">
        <f t="shared" ca="1" si="376"/>
        <v>-8.1856533810267624</v>
      </c>
    </row>
    <row r="790" spans="1:34" x14ac:dyDescent="0.2">
      <c r="A790" s="347">
        <f t="shared" ca="1" si="354"/>
        <v>1E-4</v>
      </c>
      <c r="B790" s="304">
        <f t="shared" ca="1" si="355"/>
        <v>41.625600000001143</v>
      </c>
      <c r="D790" s="306">
        <f t="shared" ca="1" si="356"/>
        <v>-0.52483759138661223</v>
      </c>
      <c r="E790" s="307">
        <f t="shared" ca="1" si="357"/>
        <v>-1.6411589455534621</v>
      </c>
      <c r="F790" s="304">
        <f t="shared" ca="1" si="358"/>
        <v>1.7230371969004767</v>
      </c>
      <c r="G790" s="306">
        <f t="shared" ca="1" si="359"/>
        <v>8.7606369677984546</v>
      </c>
      <c r="H790" s="307">
        <f t="shared" ca="1" si="360"/>
        <v>-136.35602130224385</v>
      </c>
      <c r="I790" s="304">
        <f t="shared" ca="1" si="361"/>
        <v>136.63715931421999</v>
      </c>
      <c r="J790" s="306">
        <f t="shared" ca="1" si="362"/>
        <v>712.18513894933824</v>
      </c>
      <c r="K790" s="307">
        <f t="shared" ca="1" si="363"/>
        <v>-10.185713300532111</v>
      </c>
      <c r="L790" s="304">
        <f t="shared" ca="1" si="348"/>
        <v>712.25797355714371</v>
      </c>
      <c r="M790" s="306">
        <f t="shared" ca="1" si="364"/>
        <v>-1.5066362516810574</v>
      </c>
      <c r="N790" s="304">
        <f t="shared" ca="1" si="365"/>
        <v>-86.323898482734677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4.0843000000000034</v>
      </c>
      <c r="T790" s="304">
        <f t="shared" ca="1" si="349"/>
        <v>40.066983000000036</v>
      </c>
      <c r="U790" s="311">
        <f t="shared" ca="1" si="350"/>
        <v>0</v>
      </c>
      <c r="V790" s="306">
        <f t="shared" ca="1" si="351"/>
        <v>1.2262483856642385</v>
      </c>
      <c r="W790" s="304">
        <f t="shared" ca="1" si="352"/>
        <v>33.432912282413433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1.6041313656782261</v>
      </c>
      <c r="AH790" s="304">
        <f t="shared" ca="1" si="376"/>
        <v>-8.1856837631406041</v>
      </c>
    </row>
    <row r="791" spans="1:34" x14ac:dyDescent="0.2">
      <c r="A791" s="347">
        <f t="shared" ca="1" si="354"/>
        <v>1E-4</v>
      </c>
      <c r="B791" s="304">
        <f t="shared" ca="1" si="355"/>
        <v>41.625700000001146</v>
      </c>
      <c r="D791" s="306">
        <f t="shared" ca="1" si="356"/>
        <v>-0.52483577898148548</v>
      </c>
      <c r="E791" s="307">
        <f t="shared" ca="1" si="357"/>
        <v>-1.6411283846106688</v>
      </c>
      <c r="F791" s="304">
        <f t="shared" ca="1" si="358"/>
        <v>1.7230075361628356</v>
      </c>
      <c r="G791" s="306">
        <f t="shared" ca="1" si="359"/>
        <v>8.7605844842205567</v>
      </c>
      <c r="H791" s="307">
        <f t="shared" ca="1" si="360"/>
        <v>-136.35618541508231</v>
      </c>
      <c r="I791" s="304">
        <f t="shared" ca="1" si="361"/>
        <v>136.63731972436179</v>
      </c>
      <c r="J791" s="306">
        <f t="shared" ca="1" si="362"/>
        <v>712.18513894933824</v>
      </c>
      <c r="K791" s="307">
        <f t="shared" ca="1" si="363"/>
        <v>-10.199348910867977</v>
      </c>
      <c r="L791" s="304">
        <f t="shared" ca="1" si="348"/>
        <v>712.25816868498873</v>
      </c>
      <c r="M791" s="306">
        <f t="shared" ca="1" si="364"/>
        <v>-1.5066367120081463</v>
      </c>
      <c r="N791" s="304">
        <f t="shared" ca="1" si="365"/>
        <v>-86.323924857534067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4.0843000000000034</v>
      </c>
      <c r="T791" s="304">
        <f t="shared" ca="1" si="349"/>
        <v>40.066983000000036</v>
      </c>
      <c r="U791" s="311">
        <f t="shared" ca="1" si="350"/>
        <v>0</v>
      </c>
      <c r="V791" s="306">
        <f t="shared" ca="1" si="351"/>
        <v>1.226250057730329</v>
      </c>
      <c r="W791" s="304">
        <f t="shared" ca="1" si="352"/>
        <v>33.433036369982347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1.604101273360639</v>
      </c>
      <c r="AH791" s="304">
        <f t="shared" ca="1" si="376"/>
        <v>-8.1857141449975277</v>
      </c>
    </row>
    <row r="792" spans="1:34" x14ac:dyDescent="0.2">
      <c r="A792" s="347">
        <f t="shared" ca="1" si="354"/>
        <v>1E-4</v>
      </c>
      <c r="B792" s="304">
        <f t="shared" ca="1" si="355"/>
        <v>41.625800000001149</v>
      </c>
      <c r="D792" s="306">
        <f t="shared" ca="1" si="356"/>
        <v>-0.52483396656321957</v>
      </c>
      <c r="E792" s="307">
        <f t="shared" ca="1" si="357"/>
        <v>-1.6410978239262146</v>
      </c>
      <c r="F792" s="304">
        <f t="shared" ca="1" si="358"/>
        <v>1.7229778757006253</v>
      </c>
      <c r="G792" s="306">
        <f t="shared" ca="1" si="359"/>
        <v>8.7605320008239005</v>
      </c>
      <c r="H792" s="307">
        <f t="shared" ca="1" si="360"/>
        <v>-136.3563495248647</v>
      </c>
      <c r="I792" s="304">
        <f t="shared" ca="1" si="361"/>
        <v>136.63748013149441</v>
      </c>
      <c r="J792" s="306">
        <f t="shared" ca="1" si="362"/>
        <v>712.18513894933824</v>
      </c>
      <c r="K792" s="307">
        <f t="shared" ca="1" si="363"/>
        <v>-10.212984537614975</v>
      </c>
      <c r="L792" s="304">
        <f t="shared" ca="1" si="348"/>
        <v>712.25836407405836</v>
      </c>
      <c r="M792" s="306">
        <f t="shared" ca="1" si="364"/>
        <v>-1.5066371723313965</v>
      </c>
      <c r="N792" s="304">
        <f t="shared" ca="1" si="365"/>
        <v>-86.323951232113515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4.0843000000000034</v>
      </c>
      <c r="T792" s="304">
        <f t="shared" ca="1" si="349"/>
        <v>40.066983000000036</v>
      </c>
      <c r="U792" s="311">
        <f t="shared" ca="1" si="350"/>
        <v>0</v>
      </c>
      <c r="V792" s="306">
        <f t="shared" ca="1" si="351"/>
        <v>1.2262517298007127</v>
      </c>
      <c r="W792" s="304">
        <f t="shared" ca="1" si="352"/>
        <v>33.433160456501945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1.6040711812954811</v>
      </c>
      <c r="AH792" s="304">
        <f t="shared" ca="1" si="376"/>
        <v>-8.1857445265975368</v>
      </c>
    </row>
    <row r="793" spans="1:34" x14ac:dyDescent="0.2">
      <c r="A793" s="347">
        <f t="shared" ca="1" si="354"/>
        <v>1E-4</v>
      </c>
      <c r="B793" s="304">
        <f t="shared" ca="1" si="355"/>
        <v>41.625900000001153</v>
      </c>
      <c r="D793" s="306">
        <f t="shared" ca="1" si="356"/>
        <v>-0.52483215413181483</v>
      </c>
      <c r="E793" s="307">
        <f t="shared" ca="1" si="357"/>
        <v>-1.6410672635000978</v>
      </c>
      <c r="F793" s="304">
        <f t="shared" ca="1" si="358"/>
        <v>1.7229482155138443</v>
      </c>
      <c r="G793" s="306">
        <f t="shared" ca="1" si="359"/>
        <v>8.7604795176084878</v>
      </c>
      <c r="H793" s="307">
        <f t="shared" ca="1" si="360"/>
        <v>-136.35651363159104</v>
      </c>
      <c r="I793" s="304">
        <f t="shared" ca="1" si="361"/>
        <v>136.63764053561781</v>
      </c>
      <c r="J793" s="306">
        <f t="shared" ca="1" si="362"/>
        <v>712.18513894933824</v>
      </c>
      <c r="K793" s="307">
        <f t="shared" ca="1" si="363"/>
        <v>-10.226620180772798</v>
      </c>
      <c r="L793" s="304">
        <f t="shared" ca="1" si="348"/>
        <v>712.25855972435318</v>
      </c>
      <c r="M793" s="306">
        <f t="shared" ca="1" si="364"/>
        <v>-1.5066376326508084</v>
      </c>
      <c r="N793" s="304">
        <f t="shared" ca="1" si="365"/>
        <v>-86.323977606473036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4.0843000000000034</v>
      </c>
      <c r="T793" s="304">
        <f t="shared" ca="1" si="349"/>
        <v>40.066983000000036</v>
      </c>
      <c r="U793" s="311">
        <f t="shared" ca="1" si="350"/>
        <v>0</v>
      </c>
      <c r="V793" s="306">
        <f t="shared" ca="1" si="351"/>
        <v>1.2262534018753903</v>
      </c>
      <c r="W793" s="304">
        <f t="shared" ca="1" si="352"/>
        <v>33.433284541972213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1.604041089482747</v>
      </c>
      <c r="AH793" s="304">
        <f t="shared" ca="1" si="376"/>
        <v>-8.1857749079406297</v>
      </c>
    </row>
    <row r="794" spans="1:34" x14ac:dyDescent="0.2">
      <c r="A794" s="347">
        <f t="shared" ca="1" si="354"/>
        <v>1E-4</v>
      </c>
      <c r="B794" s="304">
        <f t="shared" ca="1" si="355"/>
        <v>41.626000000001156</v>
      </c>
      <c r="D794" s="306">
        <f t="shared" ca="1" si="356"/>
        <v>-0.52483034168726839</v>
      </c>
      <c r="E794" s="307">
        <f t="shared" ca="1" si="357"/>
        <v>-1.6410367033323219</v>
      </c>
      <c r="F794" s="304">
        <f t="shared" ca="1" si="358"/>
        <v>1.7229185556024957</v>
      </c>
      <c r="G794" s="306">
        <f t="shared" ca="1" si="359"/>
        <v>8.7604270345743185</v>
      </c>
      <c r="H794" s="307">
        <f t="shared" ca="1" si="360"/>
        <v>-136.35667773526137</v>
      </c>
      <c r="I794" s="304">
        <f t="shared" ca="1" si="361"/>
        <v>136.63780093673208</v>
      </c>
      <c r="J794" s="306">
        <f t="shared" ca="1" si="362"/>
        <v>712.18513894933824</v>
      </c>
      <c r="K794" s="307">
        <f t="shared" ca="1" si="363"/>
        <v>-10.24025584034114</v>
      </c>
      <c r="L794" s="304">
        <f t="shared" ca="1" si="348"/>
        <v>712.25875563587408</v>
      </c>
      <c r="M794" s="306">
        <f t="shared" ca="1" si="364"/>
        <v>-1.5066380929663816</v>
      </c>
      <c r="N794" s="304">
        <f t="shared" ca="1" si="365"/>
        <v>-86.32400398061263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4.0843000000000034</v>
      </c>
      <c r="T794" s="304">
        <f t="shared" ca="1" si="349"/>
        <v>40.066983000000036</v>
      </c>
      <c r="U794" s="311">
        <f t="shared" ca="1" si="350"/>
        <v>0</v>
      </c>
      <c r="V794" s="306">
        <f t="shared" ca="1" si="351"/>
        <v>1.2262550739543614</v>
      </c>
      <c r="W794" s="304">
        <f t="shared" ca="1" si="352"/>
        <v>33.433408626393181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 t="e">
        <f t="shared" ca="1" si="373"/>
        <v>#N/A</v>
      </c>
      <c r="AD794" s="323" t="e">
        <f t="shared" ca="1" si="374"/>
        <v>#N/A</v>
      </c>
      <c r="AE794" s="324" t="e">
        <f t="shared" ca="1" si="353"/>
        <v>#N/A</v>
      </c>
      <c r="AG794" s="306">
        <f t="shared" ca="1" si="375"/>
        <v>1.6040109979224422</v>
      </c>
      <c r="AH794" s="304">
        <f t="shared" ca="1" si="376"/>
        <v>-8.1858052890268063</v>
      </c>
    </row>
    <row r="795" spans="1:34" x14ac:dyDescent="0.2">
      <c r="A795" s="347">
        <f t="shared" ca="1" si="354"/>
        <v>1E-4</v>
      </c>
      <c r="B795" s="304">
        <f t="shared" ca="1" si="355"/>
        <v>41.626100000001159</v>
      </c>
      <c r="D795" s="306">
        <f t="shared" ca="1" si="356"/>
        <v>-0.52482852922958512</v>
      </c>
      <c r="E795" s="307">
        <f t="shared" ca="1" si="357"/>
        <v>-1.6410061434228815</v>
      </c>
      <c r="F795" s="304">
        <f t="shared" ca="1" si="358"/>
        <v>1.7228888959665762</v>
      </c>
      <c r="G795" s="306">
        <f t="shared" ca="1" si="359"/>
        <v>8.7603745517213962</v>
      </c>
      <c r="H795" s="307">
        <f t="shared" ca="1" si="360"/>
        <v>-136.35684183587571</v>
      </c>
      <c r="I795" s="304">
        <f t="shared" ca="1" si="361"/>
        <v>136.63796133483723</v>
      </c>
      <c r="J795" s="306">
        <f t="shared" ca="1" si="362"/>
        <v>712.18513894933824</v>
      </c>
      <c r="K795" s="307">
        <f t="shared" ca="1" si="363"/>
        <v>-10.253891516319698</v>
      </c>
      <c r="L795" s="304">
        <f t="shared" ca="1" si="348"/>
        <v>712.25895180862187</v>
      </c>
      <c r="M795" s="306">
        <f t="shared" ca="1" si="364"/>
        <v>-1.5066385532781166</v>
      </c>
      <c r="N795" s="304">
        <f t="shared" ca="1" si="365"/>
        <v>-86.324030354532297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4.0843000000000034</v>
      </c>
      <c r="T795" s="304">
        <f t="shared" ca="1" si="349"/>
        <v>40.066983000000036</v>
      </c>
      <c r="U795" s="311">
        <f t="shared" ca="1" si="350"/>
        <v>0</v>
      </c>
      <c r="V795" s="306">
        <f t="shared" ca="1" si="351"/>
        <v>1.2262567460376261</v>
      </c>
      <c r="W795" s="304">
        <f t="shared" ca="1" si="352"/>
        <v>33.433532709764847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1.6039809066145594</v>
      </c>
      <c r="AH795" s="304">
        <f t="shared" ca="1" si="376"/>
        <v>-8.1858356698560719</v>
      </c>
    </row>
    <row r="796" spans="1:34" x14ac:dyDescent="0.2">
      <c r="A796" s="347">
        <f t="shared" ca="1" si="354"/>
        <v>1E-4</v>
      </c>
      <c r="B796" s="304">
        <f t="shared" ca="1" si="355"/>
        <v>41.626200000001162</v>
      </c>
      <c r="D796" s="306">
        <f t="shared" ca="1" si="356"/>
        <v>-0.52482671675876191</v>
      </c>
      <c r="E796" s="307">
        <f t="shared" ca="1" si="357"/>
        <v>-1.640975583771775</v>
      </c>
      <c r="F796" s="304">
        <f t="shared" ca="1" si="358"/>
        <v>1.7228592366060842</v>
      </c>
      <c r="G796" s="306">
        <f t="shared" ca="1" si="359"/>
        <v>8.760322069049721</v>
      </c>
      <c r="H796" s="307">
        <f t="shared" ca="1" si="360"/>
        <v>-136.3570059334341</v>
      </c>
      <c r="I796" s="304">
        <f t="shared" ca="1" si="361"/>
        <v>136.63812172993326</v>
      </c>
      <c r="J796" s="306">
        <f t="shared" ca="1" si="362"/>
        <v>712.18513894933824</v>
      </c>
      <c r="K796" s="307">
        <f t="shared" ca="1" si="363"/>
        <v>-10.267527208708163</v>
      </c>
      <c r="L796" s="304">
        <f t="shared" ca="1" si="348"/>
        <v>712.25914824259701</v>
      </c>
      <c r="M796" s="306">
        <f t="shared" ca="1" si="364"/>
        <v>-1.506639013586013</v>
      </c>
      <c r="N796" s="304">
        <f t="shared" ca="1" si="365"/>
        <v>-86.324056728232051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4.0843000000000034</v>
      </c>
      <c r="T796" s="304">
        <f t="shared" ca="1" si="349"/>
        <v>40.066983000000036</v>
      </c>
      <c r="U796" s="311">
        <f t="shared" ca="1" si="350"/>
        <v>0</v>
      </c>
      <c r="V796" s="306">
        <f t="shared" ca="1" si="351"/>
        <v>1.2262584181251837</v>
      </c>
      <c r="W796" s="304">
        <f t="shared" ca="1" si="352"/>
        <v>33.433656792087177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1.6039508155590987</v>
      </c>
      <c r="AH796" s="304">
        <f t="shared" ca="1" si="376"/>
        <v>-8.1858660504284266</v>
      </c>
    </row>
    <row r="797" spans="1:34" x14ac:dyDescent="0.2">
      <c r="A797" s="347">
        <f t="shared" ca="1" si="354"/>
        <v>1E-4</v>
      </c>
      <c r="B797" s="304">
        <f t="shared" ca="1" si="355"/>
        <v>41.626300000001166</v>
      </c>
      <c r="D797" s="306">
        <f t="shared" ca="1" si="356"/>
        <v>-0.52482490427480077</v>
      </c>
      <c r="E797" s="307">
        <f t="shared" ca="1" si="357"/>
        <v>-1.6409450243790129</v>
      </c>
      <c r="F797" s="304">
        <f t="shared" ca="1" si="358"/>
        <v>1.7228295775210307</v>
      </c>
      <c r="G797" s="306">
        <f t="shared" ca="1" si="359"/>
        <v>8.7602695865592928</v>
      </c>
      <c r="H797" s="307">
        <f t="shared" ca="1" si="360"/>
        <v>-136.35717002793655</v>
      </c>
      <c r="I797" s="304">
        <f t="shared" ca="1" si="361"/>
        <v>136.63828212202023</v>
      </c>
      <c r="J797" s="306">
        <f t="shared" ca="1" si="362"/>
        <v>712.18513894933824</v>
      </c>
      <c r="K797" s="307">
        <f t="shared" ca="1" si="363"/>
        <v>-10.281162917506231</v>
      </c>
      <c r="L797" s="304">
        <f t="shared" ca="1" si="348"/>
        <v>712.25934493780039</v>
      </c>
      <c r="M797" s="306">
        <f t="shared" ca="1" si="364"/>
        <v>-1.5066394738900712</v>
      </c>
      <c r="N797" s="304">
        <f t="shared" ca="1" si="365"/>
        <v>-86.324083101711878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4.0843000000000034</v>
      </c>
      <c r="T797" s="304">
        <f t="shared" ca="1" si="349"/>
        <v>40.066983000000036</v>
      </c>
      <c r="U797" s="311">
        <f t="shared" ca="1" si="350"/>
        <v>0</v>
      </c>
      <c r="V797" s="306">
        <f t="shared" ca="1" si="351"/>
        <v>1.2262600902170351</v>
      </c>
      <c r="W797" s="304">
        <f t="shared" ca="1" si="352"/>
        <v>33.433780873360213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1.6039207247560725</v>
      </c>
      <c r="AH797" s="304">
        <f t="shared" ca="1" si="376"/>
        <v>-8.1858964307438598</v>
      </c>
    </row>
    <row r="798" spans="1:34" x14ac:dyDescent="0.2">
      <c r="A798" s="347">
        <f t="shared" ca="1" si="354"/>
        <v>1E-4</v>
      </c>
      <c r="B798" s="304">
        <f t="shared" ca="1" si="355"/>
        <v>41.626400000001169</v>
      </c>
      <c r="D798" s="306">
        <f t="shared" ca="1" si="356"/>
        <v>-0.52482309177770137</v>
      </c>
      <c r="E798" s="307">
        <f t="shared" ca="1" si="357"/>
        <v>-1.6409144652445828</v>
      </c>
      <c r="F798" s="304">
        <f t="shared" ca="1" si="358"/>
        <v>1.7227999187114043</v>
      </c>
      <c r="G798" s="306">
        <f t="shared" ca="1" si="359"/>
        <v>8.7602171042501151</v>
      </c>
      <c r="H798" s="307">
        <f t="shared" ca="1" si="360"/>
        <v>-136.35733411938307</v>
      </c>
      <c r="I798" s="304">
        <f t="shared" ca="1" si="361"/>
        <v>136.63844251109813</v>
      </c>
      <c r="J798" s="306">
        <f t="shared" ca="1" si="362"/>
        <v>712.18513894933824</v>
      </c>
      <c r="K798" s="307">
        <f t="shared" ca="1" si="363"/>
        <v>-10.294798642713596</v>
      </c>
      <c r="L798" s="304">
        <f t="shared" ca="1" si="348"/>
        <v>712.25954189423271</v>
      </c>
      <c r="M798" s="306">
        <f t="shared" ca="1" si="364"/>
        <v>-1.5066399341902912</v>
      </c>
      <c r="N798" s="304">
        <f t="shared" ca="1" si="365"/>
        <v>-86.324109474971792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4.0843000000000034</v>
      </c>
      <c r="T798" s="304">
        <f t="shared" ca="1" si="349"/>
        <v>40.066983000000036</v>
      </c>
      <c r="U798" s="311">
        <f t="shared" ca="1" si="350"/>
        <v>0</v>
      </c>
      <c r="V798" s="306">
        <f t="shared" ca="1" si="351"/>
        <v>1.22626176231318</v>
      </c>
      <c r="W798" s="304">
        <f t="shared" ca="1" si="352"/>
        <v>33.433904953583941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1.6038906342054613</v>
      </c>
      <c r="AH798" s="304">
        <f t="shared" ca="1" si="376"/>
        <v>-8.1859268108023855</v>
      </c>
    </row>
    <row r="799" spans="1:34" x14ac:dyDescent="0.2">
      <c r="A799" s="347">
        <f t="shared" ca="1" si="354"/>
        <v>1E-4</v>
      </c>
      <c r="B799" s="304">
        <f t="shared" ca="1" si="355"/>
        <v>41.626500000001172</v>
      </c>
      <c r="D799" s="306">
        <f t="shared" ca="1" si="356"/>
        <v>-0.52482127926746414</v>
      </c>
      <c r="E799" s="307">
        <f t="shared" ca="1" si="357"/>
        <v>-1.6408839063684884</v>
      </c>
      <c r="F799" s="304">
        <f t="shared" ca="1" si="358"/>
        <v>1.7227702601772088</v>
      </c>
      <c r="G799" s="306">
        <f t="shared" ca="1" si="359"/>
        <v>8.760164622122188</v>
      </c>
      <c r="H799" s="307">
        <f t="shared" ca="1" si="360"/>
        <v>-136.35749820777372</v>
      </c>
      <c r="I799" s="304">
        <f t="shared" ca="1" si="361"/>
        <v>136.638602897167</v>
      </c>
      <c r="J799" s="306">
        <f t="shared" ca="1" si="362"/>
        <v>712.18513894933824</v>
      </c>
      <c r="K799" s="307">
        <f t="shared" ca="1" si="363"/>
        <v>-10.308434384329955</v>
      </c>
      <c r="L799" s="304">
        <f t="shared" ca="1" si="348"/>
        <v>712.25973911189465</v>
      </c>
      <c r="M799" s="306">
        <f t="shared" ca="1" si="364"/>
        <v>-1.5066403944866729</v>
      </c>
      <c r="N799" s="304">
        <f t="shared" ca="1" si="365"/>
        <v>-86.324135848011778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4.0843000000000034</v>
      </c>
      <c r="T799" s="304">
        <f t="shared" ca="1" si="349"/>
        <v>40.066983000000036</v>
      </c>
      <c r="U799" s="311">
        <f t="shared" ca="1" si="350"/>
        <v>0</v>
      </c>
      <c r="V799" s="306">
        <f t="shared" ca="1" si="351"/>
        <v>1.2262634344136181</v>
      </c>
      <c r="W799" s="304">
        <f t="shared" ca="1" si="352"/>
        <v>33.434029032758353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1.6038605439072775</v>
      </c>
      <c r="AH799" s="304">
        <f t="shared" ca="1" si="376"/>
        <v>-8.1859571906039985</v>
      </c>
    </row>
    <row r="800" spans="1:34" x14ac:dyDescent="0.2">
      <c r="A800" s="347">
        <f t="shared" ca="1" si="354"/>
        <v>1E-4</v>
      </c>
      <c r="B800" s="304">
        <f t="shared" ca="1" si="355"/>
        <v>41.626600000001176</v>
      </c>
      <c r="D800" s="306">
        <f t="shared" ca="1" si="356"/>
        <v>-0.52481946674408952</v>
      </c>
      <c r="E800" s="307">
        <f t="shared" ca="1" si="357"/>
        <v>-1.640853347750733</v>
      </c>
      <c r="F800" s="304">
        <f t="shared" ca="1" si="358"/>
        <v>1.7227406019184486</v>
      </c>
      <c r="G800" s="306">
        <f t="shared" ca="1" si="359"/>
        <v>8.7601121401755133</v>
      </c>
      <c r="H800" s="307">
        <f t="shared" ca="1" si="360"/>
        <v>-136.35766229310849</v>
      </c>
      <c r="I800" s="304">
        <f t="shared" ca="1" si="361"/>
        <v>136.63876328022684</v>
      </c>
      <c r="J800" s="306">
        <f t="shared" ca="1" si="362"/>
        <v>712.18513894933824</v>
      </c>
      <c r="K800" s="307">
        <f t="shared" ca="1" si="363"/>
        <v>-10.322070142354999</v>
      </c>
      <c r="L800" s="304">
        <f t="shared" ca="1" si="348"/>
        <v>712.25993659078699</v>
      </c>
      <c r="M800" s="306">
        <f t="shared" ca="1" si="364"/>
        <v>-1.5066408547792163</v>
      </c>
      <c r="N800" s="304">
        <f t="shared" ca="1" si="365"/>
        <v>-86.324162220831866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4.0843000000000034</v>
      </c>
      <c r="T800" s="304">
        <f t="shared" ca="1" si="349"/>
        <v>40.066983000000036</v>
      </c>
      <c r="U800" s="311">
        <f t="shared" ca="1" si="350"/>
        <v>0</v>
      </c>
      <c r="V800" s="306">
        <f t="shared" ca="1" si="351"/>
        <v>1.2262651065183496</v>
      </c>
      <c r="W800" s="304">
        <f t="shared" ca="1" si="352"/>
        <v>33.434153110883457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1.6038304538615211</v>
      </c>
      <c r="AH800" s="304">
        <f t="shared" ca="1" si="376"/>
        <v>-8.185987570148697</v>
      </c>
    </row>
    <row r="801" spans="1:34" x14ac:dyDescent="0.2">
      <c r="A801" s="347">
        <f t="shared" ca="1" si="354"/>
        <v>1E-4</v>
      </c>
      <c r="B801" s="304">
        <f t="shared" ca="1" si="355"/>
        <v>41.626700000001179</v>
      </c>
      <c r="D801" s="306">
        <f t="shared" ca="1" si="356"/>
        <v>-0.52481765420757853</v>
      </c>
      <c r="E801" s="307">
        <f t="shared" ca="1" si="357"/>
        <v>-1.6408227893913132</v>
      </c>
      <c r="F801" s="304">
        <f t="shared" ca="1" si="358"/>
        <v>1.7227109439351209</v>
      </c>
      <c r="G801" s="306">
        <f t="shared" ca="1" si="359"/>
        <v>8.7600596584100927</v>
      </c>
      <c r="H801" s="307">
        <f t="shared" ca="1" si="360"/>
        <v>-136.35782637538742</v>
      </c>
      <c r="I801" s="304">
        <f t="shared" ca="1" si="361"/>
        <v>136.63892366027773</v>
      </c>
      <c r="J801" s="306">
        <f t="shared" ca="1" si="362"/>
        <v>712.18513894933824</v>
      </c>
      <c r="K801" s="307">
        <f t="shared" ca="1" si="363"/>
        <v>-10.335705916788424</v>
      </c>
      <c r="L801" s="304">
        <f t="shared" ca="1" si="348"/>
        <v>712.26013433091043</v>
      </c>
      <c r="M801" s="306">
        <f t="shared" ca="1" si="364"/>
        <v>-1.5066413150679216</v>
      </c>
      <c r="N801" s="304">
        <f t="shared" ca="1" si="365"/>
        <v>-86.324188593432041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4.0843000000000034</v>
      </c>
      <c r="T801" s="304">
        <f t="shared" ca="1" si="349"/>
        <v>40.066983000000036</v>
      </c>
      <c r="U801" s="311">
        <f t="shared" ca="1" si="350"/>
        <v>0</v>
      </c>
      <c r="V801" s="306">
        <f t="shared" ca="1" si="351"/>
        <v>1.2262667786273747</v>
      </c>
      <c r="W801" s="304">
        <f t="shared" ca="1" si="352"/>
        <v>33.43427718795926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1.6038003640681868</v>
      </c>
      <c r="AH801" s="304">
        <f t="shared" ca="1" si="376"/>
        <v>-8.1860179494364829</v>
      </c>
    </row>
    <row r="802" spans="1:34" x14ac:dyDescent="0.2">
      <c r="A802" s="347">
        <f t="shared" ca="1" si="354"/>
        <v>1E-4</v>
      </c>
      <c r="B802" s="304">
        <f t="shared" ca="1" si="355"/>
        <v>41.626800000001182</v>
      </c>
      <c r="D802" s="306">
        <f t="shared" ca="1" si="356"/>
        <v>-0.52481584165793016</v>
      </c>
      <c r="E802" s="307">
        <f t="shared" ca="1" si="357"/>
        <v>-1.6407922312902272</v>
      </c>
      <c r="F802" s="304">
        <f t="shared" ca="1" si="358"/>
        <v>1.7226812862272245</v>
      </c>
      <c r="G802" s="306">
        <f t="shared" ca="1" si="359"/>
        <v>8.7600071768259262</v>
      </c>
      <c r="H802" s="307">
        <f t="shared" ca="1" si="360"/>
        <v>-136.35799045461056</v>
      </c>
      <c r="I802" s="304">
        <f t="shared" ca="1" si="361"/>
        <v>136.63908403731966</v>
      </c>
      <c r="J802" s="306">
        <f t="shared" ca="1" si="362"/>
        <v>712.18513894933824</v>
      </c>
      <c r="K802" s="307">
        <f t="shared" ca="1" si="363"/>
        <v>-10.349341707629923</v>
      </c>
      <c r="L802" s="304">
        <f t="shared" ca="1" si="348"/>
        <v>712.26033233226565</v>
      </c>
      <c r="M802" s="306">
        <f t="shared" ca="1" si="364"/>
        <v>-1.506641775352789</v>
      </c>
      <c r="N802" s="304">
        <f t="shared" ca="1" si="365"/>
        <v>-86.324214965812303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4.0843000000000034</v>
      </c>
      <c r="T802" s="304">
        <f t="shared" ca="1" si="349"/>
        <v>40.066983000000036</v>
      </c>
      <c r="U802" s="311">
        <f t="shared" ca="1" si="350"/>
        <v>0</v>
      </c>
      <c r="V802" s="306">
        <f t="shared" ca="1" si="351"/>
        <v>1.2262684507406927</v>
      </c>
      <c r="W802" s="304">
        <f t="shared" ca="1" si="352"/>
        <v>33.43440126398577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1.6037702745272782</v>
      </c>
      <c r="AH802" s="304">
        <f t="shared" ca="1" si="376"/>
        <v>-8.1860483284673577</v>
      </c>
    </row>
    <row r="803" spans="1:34" x14ac:dyDescent="0.2">
      <c r="A803" s="347">
        <f t="shared" ca="1" si="354"/>
        <v>1E-4</v>
      </c>
      <c r="B803" s="304">
        <f t="shared" ca="1" si="355"/>
        <v>41.626900000001186</v>
      </c>
      <c r="D803" s="306">
        <f t="shared" ca="1" si="356"/>
        <v>-0.52481402909514518</v>
      </c>
      <c r="E803" s="307">
        <f t="shared" ca="1" si="357"/>
        <v>-1.6407616734474733</v>
      </c>
      <c r="F803" s="304">
        <f t="shared" ca="1" si="358"/>
        <v>1.722651628794758</v>
      </c>
      <c r="G803" s="306">
        <f t="shared" ca="1" si="359"/>
        <v>8.7599546954230174</v>
      </c>
      <c r="H803" s="307">
        <f t="shared" ca="1" si="360"/>
        <v>-136.35815453077791</v>
      </c>
      <c r="I803" s="304">
        <f t="shared" ca="1" si="361"/>
        <v>136.63924441135268</v>
      </c>
      <c r="J803" s="306">
        <f t="shared" ca="1" si="362"/>
        <v>712.18513894933824</v>
      </c>
      <c r="K803" s="307">
        <f t="shared" ca="1" si="363"/>
        <v>-10.362977514879192</v>
      </c>
      <c r="L803" s="304">
        <f t="shared" ca="1" si="348"/>
        <v>712.26053059485344</v>
      </c>
      <c r="M803" s="306">
        <f t="shared" ca="1" si="364"/>
        <v>-1.506642235633818</v>
      </c>
      <c r="N803" s="304">
        <f t="shared" ca="1" si="365"/>
        <v>-86.324241337972666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4.0843000000000034</v>
      </c>
      <c r="T803" s="304">
        <f t="shared" ca="1" si="349"/>
        <v>40.066983000000036</v>
      </c>
      <c r="U803" s="311">
        <f t="shared" ca="1" si="350"/>
        <v>0</v>
      </c>
      <c r="V803" s="306">
        <f t="shared" ca="1" si="351"/>
        <v>1.2262701228583039</v>
      </c>
      <c r="W803" s="304">
        <f t="shared" ca="1" si="352"/>
        <v>33.43452533896297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1.6037401852387863</v>
      </c>
      <c r="AH803" s="304">
        <f t="shared" ca="1" si="376"/>
        <v>-8.1860787072413252</v>
      </c>
    </row>
    <row r="804" spans="1:34" x14ac:dyDescent="0.2">
      <c r="A804" s="347">
        <f t="shared" ca="1" si="354"/>
        <v>1E-4</v>
      </c>
      <c r="B804" s="304">
        <f t="shared" ca="1" si="355"/>
        <v>41.627000000001189</v>
      </c>
      <c r="D804" s="306">
        <f t="shared" ca="1" si="356"/>
        <v>-0.52481221651922583</v>
      </c>
      <c r="E804" s="307">
        <f t="shared" ca="1" si="357"/>
        <v>-1.6407311158630584</v>
      </c>
      <c r="F804" s="304">
        <f t="shared" ca="1" si="358"/>
        <v>1.7226219716377298</v>
      </c>
      <c r="G804" s="306">
        <f t="shared" ca="1" si="359"/>
        <v>8.7599022142013663</v>
      </c>
      <c r="H804" s="307">
        <f t="shared" ca="1" si="360"/>
        <v>-136.3583186038895</v>
      </c>
      <c r="I804" s="304">
        <f t="shared" ca="1" si="361"/>
        <v>136.63940478237677</v>
      </c>
      <c r="J804" s="306">
        <f t="shared" ca="1" si="362"/>
        <v>712.18513894933824</v>
      </c>
      <c r="K804" s="307">
        <f t="shared" ca="1" si="363"/>
        <v>-10.376613338535925</v>
      </c>
      <c r="L804" s="304">
        <f t="shared" ca="1" si="348"/>
        <v>712.26072911867436</v>
      </c>
      <c r="M804" s="306">
        <f t="shared" ca="1" si="364"/>
        <v>-1.5066426959110093</v>
      </c>
      <c r="N804" s="304">
        <f t="shared" ca="1" si="365"/>
        <v>-86.32426770991313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4.0843000000000034</v>
      </c>
      <c r="T804" s="304">
        <f t="shared" ca="1" si="349"/>
        <v>40.066983000000036</v>
      </c>
      <c r="U804" s="311">
        <f t="shared" ca="1" si="350"/>
        <v>0</v>
      </c>
      <c r="V804" s="306">
        <f t="shared" ca="1" si="351"/>
        <v>1.2262717949802087</v>
      </c>
      <c r="W804" s="304">
        <f t="shared" ca="1" si="352"/>
        <v>33.43464941289087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 t="e">
        <f t="shared" ca="1" si="373"/>
        <v>#N/A</v>
      </c>
      <c r="AD804" s="323" t="e">
        <f t="shared" ca="1" si="374"/>
        <v>#N/A</v>
      </c>
      <c r="AE804" s="324" t="e">
        <f t="shared" ca="1" si="353"/>
        <v>#N/A</v>
      </c>
      <c r="AG804" s="306">
        <f t="shared" ca="1" si="375"/>
        <v>1.6037100962027218</v>
      </c>
      <c r="AH804" s="304">
        <f t="shared" ca="1" si="376"/>
        <v>-8.1861090857583783</v>
      </c>
    </row>
    <row r="805" spans="1:34" x14ac:dyDescent="0.2">
      <c r="A805" s="347">
        <f t="shared" ca="1" si="354"/>
        <v>1E-4</v>
      </c>
      <c r="B805" s="304">
        <f t="shared" ca="1" si="355"/>
        <v>41.627100000001192</v>
      </c>
      <c r="D805" s="306">
        <f t="shared" ca="1" si="356"/>
        <v>-0.52481040393016931</v>
      </c>
      <c r="E805" s="307">
        <f t="shared" ca="1" si="357"/>
        <v>-1.6407005585369756</v>
      </c>
      <c r="F805" s="304">
        <f t="shared" ca="1" si="358"/>
        <v>1.7225923147561326</v>
      </c>
      <c r="G805" s="306">
        <f t="shared" ca="1" si="359"/>
        <v>8.7598497331609728</v>
      </c>
      <c r="H805" s="307">
        <f t="shared" ca="1" si="360"/>
        <v>-136.35848267394536</v>
      </c>
      <c r="I805" s="304">
        <f t="shared" ca="1" si="361"/>
        <v>136.639565150392</v>
      </c>
      <c r="J805" s="306">
        <f t="shared" ca="1" si="362"/>
        <v>712.18513894933824</v>
      </c>
      <c r="K805" s="307">
        <f t="shared" ca="1" si="363"/>
        <v>-10.390249178599817</v>
      </c>
      <c r="L805" s="304">
        <f t="shared" ca="1" si="348"/>
        <v>712.26092790372945</v>
      </c>
      <c r="M805" s="306">
        <f t="shared" ca="1" si="364"/>
        <v>-1.5066431561843625</v>
      </c>
      <c r="N805" s="304">
        <f t="shared" ca="1" si="365"/>
        <v>-86.324294081633681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4.0843000000000034</v>
      </c>
      <c r="T805" s="304">
        <f t="shared" ca="1" si="349"/>
        <v>40.066983000000036</v>
      </c>
      <c r="U805" s="311">
        <f t="shared" ca="1" si="350"/>
        <v>0</v>
      </c>
      <c r="V805" s="306">
        <f t="shared" ca="1" si="351"/>
        <v>1.2262734671064062</v>
      </c>
      <c r="W805" s="304">
        <f t="shared" ca="1" si="352"/>
        <v>33.434773485769476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1.6036800074190811</v>
      </c>
      <c r="AH805" s="304">
        <f t="shared" ca="1" si="376"/>
        <v>-8.1861394640185203</v>
      </c>
    </row>
    <row r="806" spans="1:34" x14ac:dyDescent="0.2">
      <c r="A806" s="347">
        <f t="shared" ca="1" si="354"/>
        <v>1E-4</v>
      </c>
      <c r="B806" s="304">
        <f t="shared" ca="1" si="355"/>
        <v>41.627200000001196</v>
      </c>
      <c r="D806" s="306">
        <f t="shared" ca="1" si="356"/>
        <v>-0.5248085913279783</v>
      </c>
      <c r="E806" s="307">
        <f t="shared" ca="1" si="357"/>
        <v>-1.6406700014692266</v>
      </c>
      <c r="F806" s="304">
        <f t="shared" ca="1" si="358"/>
        <v>1.7225626581499696</v>
      </c>
      <c r="G806" s="306">
        <f t="shared" ca="1" si="359"/>
        <v>8.7597972523018406</v>
      </c>
      <c r="H806" s="307">
        <f t="shared" ca="1" si="360"/>
        <v>-136.35864674094552</v>
      </c>
      <c r="I806" s="304">
        <f t="shared" ca="1" si="361"/>
        <v>136.63972551539837</v>
      </c>
      <c r="J806" s="306">
        <f t="shared" ca="1" si="362"/>
        <v>712.18513894933824</v>
      </c>
      <c r="K806" s="307">
        <f t="shared" ca="1" si="363"/>
        <v>-10.403885035070561</v>
      </c>
      <c r="L806" s="304">
        <f t="shared" ca="1" si="348"/>
        <v>712.26112695001905</v>
      </c>
      <c r="M806" s="306">
        <f t="shared" ca="1" si="364"/>
        <v>-1.5066436164538779</v>
      </c>
      <c r="N806" s="304">
        <f t="shared" ca="1" si="365"/>
        <v>-86.324320453134362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4.0843000000000034</v>
      </c>
      <c r="T806" s="304">
        <f t="shared" ca="1" si="349"/>
        <v>40.066983000000036</v>
      </c>
      <c r="U806" s="311">
        <f t="shared" ca="1" si="350"/>
        <v>0</v>
      </c>
      <c r="V806" s="306">
        <f t="shared" ca="1" si="351"/>
        <v>1.2262751392368973</v>
      </c>
      <c r="W806" s="304">
        <f t="shared" ca="1" si="352"/>
        <v>33.434897557598788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1.6036499188878608</v>
      </c>
      <c r="AH806" s="304">
        <f t="shared" ca="1" si="376"/>
        <v>-8.1861698420217532</v>
      </c>
    </row>
    <row r="807" spans="1:34" x14ac:dyDescent="0.2">
      <c r="A807" s="347">
        <f t="shared" ca="1" si="354"/>
        <v>1E-4</v>
      </c>
      <c r="B807" s="304">
        <f t="shared" ca="1" si="355"/>
        <v>41.627300000001199</v>
      </c>
      <c r="D807" s="306">
        <f t="shared" ca="1" si="356"/>
        <v>-0.52480677871265169</v>
      </c>
      <c r="E807" s="307">
        <f t="shared" ca="1" si="357"/>
        <v>-1.6406394446598114</v>
      </c>
      <c r="F807" s="304">
        <f t="shared" ca="1" si="358"/>
        <v>1.7225330018192406</v>
      </c>
      <c r="G807" s="306">
        <f t="shared" ca="1" si="359"/>
        <v>8.7597447716239696</v>
      </c>
      <c r="H807" s="307">
        <f t="shared" ca="1" si="360"/>
        <v>-136.35881080488997</v>
      </c>
      <c r="I807" s="304">
        <f t="shared" ca="1" si="361"/>
        <v>136.6398858773959</v>
      </c>
      <c r="J807" s="306">
        <f t="shared" ca="1" si="362"/>
        <v>712.18513894933824</v>
      </c>
      <c r="K807" s="307">
        <f t="shared" ca="1" si="363"/>
        <v>-10.417520907947852</v>
      </c>
      <c r="L807" s="304">
        <f t="shared" ca="1" si="348"/>
        <v>712.26132625754417</v>
      </c>
      <c r="M807" s="306">
        <f t="shared" ca="1" si="364"/>
        <v>-1.5066440767195552</v>
      </c>
      <c r="N807" s="304">
        <f t="shared" ca="1" si="365"/>
        <v>-86.32434682441513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4.0843000000000034</v>
      </c>
      <c r="T807" s="304">
        <f t="shared" ca="1" si="349"/>
        <v>40.066983000000036</v>
      </c>
      <c r="U807" s="311">
        <f t="shared" ca="1" si="350"/>
        <v>0</v>
      </c>
      <c r="V807" s="306">
        <f t="shared" ca="1" si="351"/>
        <v>1.2262768113716818</v>
      </c>
      <c r="W807" s="304">
        <f t="shared" ca="1" si="352"/>
        <v>33.435021628378799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1.6036198306090625</v>
      </c>
      <c r="AH807" s="304">
        <f t="shared" ca="1" si="376"/>
        <v>-8.186200219768077</v>
      </c>
    </row>
    <row r="808" spans="1:34" x14ac:dyDescent="0.2">
      <c r="A808" s="347">
        <f t="shared" ca="1" si="354"/>
        <v>1E-4</v>
      </c>
      <c r="B808" s="304">
        <f t="shared" ca="1" si="355"/>
        <v>41.627400000001202</v>
      </c>
      <c r="D808" s="306">
        <f t="shared" ca="1" si="356"/>
        <v>-0.52480496608419192</v>
      </c>
      <c r="E808" s="307">
        <f t="shared" ca="1" si="357"/>
        <v>-1.6406088881087282</v>
      </c>
      <c r="F808" s="304">
        <f t="shared" ca="1" si="358"/>
        <v>1.7225033457639456</v>
      </c>
      <c r="G808" s="306">
        <f t="shared" ca="1" si="359"/>
        <v>8.7596922911273616</v>
      </c>
      <c r="H808" s="307">
        <f t="shared" ca="1" si="360"/>
        <v>-136.35897486577878</v>
      </c>
      <c r="I808" s="304">
        <f t="shared" ca="1" si="361"/>
        <v>136.64004623638459</v>
      </c>
      <c r="J808" s="306">
        <f t="shared" ca="1" si="362"/>
        <v>712.18513894933824</v>
      </c>
      <c r="K808" s="307">
        <f t="shared" ca="1" si="363"/>
        <v>-10.431156797231385</v>
      </c>
      <c r="L808" s="304">
        <f t="shared" ca="1" si="348"/>
        <v>712.26152582630539</v>
      </c>
      <c r="M808" s="306">
        <f t="shared" ca="1" si="364"/>
        <v>-1.506644536981395</v>
      </c>
      <c r="N808" s="304">
        <f t="shared" ca="1" si="365"/>
        <v>-86.324373195476014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4.0843000000000034</v>
      </c>
      <c r="T808" s="304">
        <f t="shared" ca="1" si="349"/>
        <v>40.066983000000036</v>
      </c>
      <c r="U808" s="311">
        <f t="shared" ca="1" si="350"/>
        <v>0</v>
      </c>
      <c r="V808" s="306">
        <f t="shared" ca="1" si="351"/>
        <v>1.2262784835107594</v>
      </c>
      <c r="W808" s="304">
        <f t="shared" ca="1" si="352"/>
        <v>33.435145698109515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1.6035897425826846</v>
      </c>
      <c r="AH808" s="304">
        <f t="shared" ca="1" si="376"/>
        <v>-8.1862305972574916</v>
      </c>
    </row>
    <row r="809" spans="1:34" x14ac:dyDescent="0.2">
      <c r="A809" s="347">
        <f t="shared" ca="1" si="354"/>
        <v>1E-4</v>
      </c>
      <c r="B809" s="304">
        <f t="shared" ca="1" si="355"/>
        <v>41.627500000001206</v>
      </c>
      <c r="D809" s="306">
        <f t="shared" ca="1" si="356"/>
        <v>-0.52480315344259598</v>
      </c>
      <c r="E809" s="307">
        <f t="shared" ca="1" si="357"/>
        <v>-1.6405783318159788</v>
      </c>
      <c r="F809" s="304">
        <f t="shared" ca="1" si="358"/>
        <v>1.7224736899840858</v>
      </c>
      <c r="G809" s="306">
        <f t="shared" ca="1" si="359"/>
        <v>8.7596398108120166</v>
      </c>
      <c r="H809" s="307">
        <f t="shared" ca="1" si="360"/>
        <v>-136.35913892361197</v>
      </c>
      <c r="I809" s="304">
        <f t="shared" ca="1" si="361"/>
        <v>136.64020659236456</v>
      </c>
      <c r="J809" s="306">
        <f t="shared" ca="1" si="362"/>
        <v>712.18513894933824</v>
      </c>
      <c r="K809" s="307">
        <f t="shared" ca="1" si="363"/>
        <v>-10.444792702920854</v>
      </c>
      <c r="L809" s="304">
        <f t="shared" ca="1" si="348"/>
        <v>712.26172565630338</v>
      </c>
      <c r="M809" s="306">
        <f t="shared" ca="1" si="364"/>
        <v>-1.5066449972393969</v>
      </c>
      <c r="N809" s="304">
        <f t="shared" ca="1" si="365"/>
        <v>-86.324399566317012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4.0843000000000034</v>
      </c>
      <c r="T809" s="304">
        <f t="shared" ca="1" si="349"/>
        <v>40.066983000000036</v>
      </c>
      <c r="U809" s="311">
        <f t="shared" ca="1" si="350"/>
        <v>0</v>
      </c>
      <c r="V809" s="306">
        <f t="shared" ca="1" si="351"/>
        <v>1.2262801556541296</v>
      </c>
      <c r="W809" s="304">
        <f t="shared" ca="1" si="352"/>
        <v>33.435269766790945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1.6035596548087305</v>
      </c>
      <c r="AH809" s="304">
        <f t="shared" ca="1" si="376"/>
        <v>-8.1862609744899952</v>
      </c>
    </row>
    <row r="810" spans="1:34" x14ac:dyDescent="0.2">
      <c r="A810" s="347">
        <f t="shared" ca="1" si="354"/>
        <v>1E-4</v>
      </c>
      <c r="B810" s="304">
        <f t="shared" ca="1" si="355"/>
        <v>41.627600000001209</v>
      </c>
      <c r="D810" s="306">
        <f t="shared" ca="1" si="356"/>
        <v>-0.52480134078786678</v>
      </c>
      <c r="E810" s="307">
        <f t="shared" ca="1" si="357"/>
        <v>-1.6405477757815614</v>
      </c>
      <c r="F810" s="304">
        <f t="shared" ca="1" si="358"/>
        <v>1.722444034479661</v>
      </c>
      <c r="G810" s="306">
        <f t="shared" ca="1" si="359"/>
        <v>8.7595873306779382</v>
      </c>
      <c r="H810" s="307">
        <f t="shared" ca="1" si="360"/>
        <v>-136.35930297838954</v>
      </c>
      <c r="I810" s="304">
        <f t="shared" ca="1" si="361"/>
        <v>136.64036694533578</v>
      </c>
      <c r="J810" s="306">
        <f t="shared" ca="1" si="362"/>
        <v>712.18513894933824</v>
      </c>
      <c r="K810" s="307">
        <f t="shared" ca="1" si="363"/>
        <v>-10.458428625015953</v>
      </c>
      <c r="L810" s="304">
        <f t="shared" ca="1" si="348"/>
        <v>712.26192574753895</v>
      </c>
      <c r="M810" s="306">
        <f t="shared" ca="1" si="364"/>
        <v>-1.506645457493561</v>
      </c>
      <c r="N810" s="304">
        <f t="shared" ca="1" si="365"/>
        <v>-86.324425936938113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4.0843000000000034</v>
      </c>
      <c r="T810" s="304">
        <f t="shared" ca="1" si="349"/>
        <v>40.066983000000036</v>
      </c>
      <c r="U810" s="311">
        <f t="shared" ca="1" si="350"/>
        <v>0</v>
      </c>
      <c r="V810" s="306">
        <f t="shared" ca="1" si="351"/>
        <v>1.2262818278017933</v>
      </c>
      <c r="W810" s="304">
        <f t="shared" ca="1" si="352"/>
        <v>33.435393834423103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1.6035295672871968</v>
      </c>
      <c r="AH810" s="304">
        <f t="shared" ca="1" si="376"/>
        <v>-8.1862913514655915</v>
      </c>
    </row>
    <row r="811" spans="1:34" x14ac:dyDescent="0.2">
      <c r="A811" s="347">
        <f t="shared" ca="1" si="354"/>
        <v>1E-4</v>
      </c>
      <c r="B811" s="304">
        <f t="shared" ca="1" si="355"/>
        <v>41.627700000001212</v>
      </c>
      <c r="D811" s="306">
        <f t="shared" ca="1" si="356"/>
        <v>-0.52479952812000519</v>
      </c>
      <c r="E811" s="307">
        <f t="shared" ca="1" si="357"/>
        <v>-1.640517220005469</v>
      </c>
      <c r="F811" s="304">
        <f t="shared" ca="1" si="358"/>
        <v>1.7224143792506645</v>
      </c>
      <c r="G811" s="306">
        <f t="shared" ca="1" si="359"/>
        <v>8.7595348507251263</v>
      </c>
      <c r="H811" s="307">
        <f t="shared" ca="1" si="360"/>
        <v>-136.35946703011155</v>
      </c>
      <c r="I811" s="304">
        <f t="shared" ca="1" si="361"/>
        <v>136.64052729529826</v>
      </c>
      <c r="J811" s="306">
        <f t="shared" ca="1" si="362"/>
        <v>712.18513894933824</v>
      </c>
      <c r="K811" s="307">
        <f t="shared" ca="1" si="363"/>
        <v>-10.472064563516378</v>
      </c>
      <c r="L811" s="304">
        <f t="shared" ca="1" si="348"/>
        <v>712.26212610001289</v>
      </c>
      <c r="M811" s="306">
        <f t="shared" ca="1" si="364"/>
        <v>-1.5066459177438876</v>
      </c>
      <c r="N811" s="304">
        <f t="shared" ca="1" si="365"/>
        <v>-86.324452307339342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4.0843000000000034</v>
      </c>
      <c r="T811" s="304">
        <f t="shared" ca="1" si="349"/>
        <v>40.066983000000036</v>
      </c>
      <c r="U811" s="311">
        <f t="shared" ca="1" si="350"/>
        <v>0</v>
      </c>
      <c r="V811" s="306">
        <f t="shared" ca="1" si="351"/>
        <v>1.2262834999537502</v>
      </c>
      <c r="W811" s="304">
        <f t="shared" ca="1" si="352"/>
        <v>33.435517901005966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1.6034994800180797</v>
      </c>
      <c r="AH811" s="304">
        <f t="shared" ca="1" si="376"/>
        <v>-8.1863217281842857</v>
      </c>
    </row>
    <row r="812" spans="1:34" x14ac:dyDescent="0.2">
      <c r="A812" s="347">
        <f t="shared" ca="1" si="354"/>
        <v>1E-4</v>
      </c>
      <c r="B812" s="304">
        <f t="shared" ca="1" si="355"/>
        <v>41.627800000001216</v>
      </c>
      <c r="D812" s="306">
        <f t="shared" ca="1" si="356"/>
        <v>-0.52479771543900955</v>
      </c>
      <c r="E812" s="307">
        <f t="shared" ca="1" si="357"/>
        <v>-1.6404866644877121</v>
      </c>
      <c r="F812" s="304">
        <f t="shared" ca="1" si="358"/>
        <v>1.7223847242971075</v>
      </c>
      <c r="G812" s="306">
        <f t="shared" ca="1" si="359"/>
        <v>8.7594823709535827</v>
      </c>
      <c r="H812" s="307">
        <f t="shared" ca="1" si="360"/>
        <v>-136.35963107877799</v>
      </c>
      <c r="I812" s="304">
        <f t="shared" ca="1" si="361"/>
        <v>136.64068764225203</v>
      </c>
      <c r="J812" s="306">
        <f t="shared" ca="1" si="362"/>
        <v>712.18513894933824</v>
      </c>
      <c r="K812" s="307">
        <f t="shared" ca="1" si="363"/>
        <v>-10.485700518421822</v>
      </c>
      <c r="L812" s="304">
        <f t="shared" ca="1" si="348"/>
        <v>712.26232671372577</v>
      </c>
      <c r="M812" s="306">
        <f t="shared" ca="1" si="364"/>
        <v>-1.5066463779903763</v>
      </c>
      <c r="N812" s="304">
        <f t="shared" ca="1" si="365"/>
        <v>-86.324478677520688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4.0843000000000034</v>
      </c>
      <c r="T812" s="304">
        <f t="shared" ca="1" si="349"/>
        <v>40.066983000000036</v>
      </c>
      <c r="U812" s="311">
        <f t="shared" ca="1" si="350"/>
        <v>0</v>
      </c>
      <c r="V812" s="306">
        <f t="shared" ca="1" si="351"/>
        <v>1.2262851721099997</v>
      </c>
      <c r="W812" s="304">
        <f t="shared" ca="1" si="352"/>
        <v>33.435641966539521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1.603469393001383</v>
      </c>
      <c r="AH812" s="304">
        <f t="shared" ca="1" si="376"/>
        <v>-8.186352104646069</v>
      </c>
    </row>
    <row r="813" spans="1:34" x14ac:dyDescent="0.2">
      <c r="A813" s="347">
        <f t="shared" ca="1" si="354"/>
        <v>1E-4</v>
      </c>
      <c r="B813" s="304">
        <f t="shared" ca="1" si="355"/>
        <v>41.627900000001219</v>
      </c>
      <c r="D813" s="306">
        <f t="shared" ca="1" si="356"/>
        <v>-0.5247959027448823</v>
      </c>
      <c r="E813" s="307">
        <f t="shared" ca="1" si="357"/>
        <v>-1.6404561092282908</v>
      </c>
      <c r="F813" s="304">
        <f t="shared" ca="1" si="358"/>
        <v>1.7223550696189904</v>
      </c>
      <c r="G813" s="306">
        <f t="shared" ca="1" si="359"/>
        <v>8.7594298913633075</v>
      </c>
      <c r="H813" s="307">
        <f t="shared" ca="1" si="360"/>
        <v>-136.35979512438891</v>
      </c>
      <c r="I813" s="304">
        <f t="shared" ca="1" si="361"/>
        <v>136.64084798619712</v>
      </c>
      <c r="J813" s="306">
        <f t="shared" ca="1" si="362"/>
        <v>712.18513894933824</v>
      </c>
      <c r="K813" s="307">
        <f t="shared" ca="1" si="363"/>
        <v>-10.499336489731981</v>
      </c>
      <c r="L813" s="304">
        <f t="shared" ca="1" si="348"/>
        <v>712.26252758867838</v>
      </c>
      <c r="M813" s="306">
        <f t="shared" ca="1" si="364"/>
        <v>-1.5066468382330276</v>
      </c>
      <c r="N813" s="304">
        <f t="shared" ca="1" si="365"/>
        <v>-86.324505047482162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4.0843000000000034</v>
      </c>
      <c r="T813" s="304">
        <f t="shared" ca="1" si="349"/>
        <v>40.066983000000036</v>
      </c>
      <c r="U813" s="311">
        <f t="shared" ca="1" si="350"/>
        <v>0</v>
      </c>
      <c r="V813" s="306">
        <f t="shared" ca="1" si="351"/>
        <v>1.2262868442705424</v>
      </c>
      <c r="W813" s="304">
        <f t="shared" ca="1" si="352"/>
        <v>33.435766031023803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1.6034393062371155</v>
      </c>
      <c r="AH813" s="304">
        <f t="shared" ca="1" si="376"/>
        <v>-8.1863824808509396</v>
      </c>
    </row>
    <row r="814" spans="1:34" x14ac:dyDescent="0.2">
      <c r="A814" s="347">
        <f t="shared" ca="1" si="354"/>
        <v>1E-4</v>
      </c>
      <c r="B814" s="304">
        <f t="shared" ca="1" si="355"/>
        <v>41.628000000001222</v>
      </c>
      <c r="D814" s="306">
        <f t="shared" ca="1" si="356"/>
        <v>-0.52479409003762112</v>
      </c>
      <c r="E814" s="307">
        <f t="shared" ca="1" si="357"/>
        <v>-1.6404255542271962</v>
      </c>
      <c r="F814" s="304">
        <f t="shared" ca="1" si="358"/>
        <v>1.7223254152163052</v>
      </c>
      <c r="G814" s="306">
        <f t="shared" ca="1" si="359"/>
        <v>8.7593774119543042</v>
      </c>
      <c r="H814" s="307">
        <f t="shared" ca="1" si="360"/>
        <v>-136.35995916694432</v>
      </c>
      <c r="I814" s="304">
        <f t="shared" ca="1" si="361"/>
        <v>136.64100832713353</v>
      </c>
      <c r="J814" s="306">
        <f t="shared" ca="1" si="362"/>
        <v>712.18513894933824</v>
      </c>
      <c r="K814" s="307">
        <f t="shared" ca="1" si="363"/>
        <v>-10.512972477446548</v>
      </c>
      <c r="L814" s="304">
        <f t="shared" ca="1" si="348"/>
        <v>712.26272872487141</v>
      </c>
      <c r="M814" s="306">
        <f t="shared" ca="1" si="364"/>
        <v>-1.5066472984718413</v>
      </c>
      <c r="N814" s="304">
        <f t="shared" ca="1" si="365"/>
        <v>-86.324531417223753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4.0843000000000034</v>
      </c>
      <c r="T814" s="304">
        <f t="shared" ca="1" si="349"/>
        <v>40.066983000000036</v>
      </c>
      <c r="U814" s="311">
        <f t="shared" ca="1" si="350"/>
        <v>0</v>
      </c>
      <c r="V814" s="306">
        <f t="shared" ca="1" si="351"/>
        <v>1.2262885164353781</v>
      </c>
      <c r="W814" s="304">
        <f t="shared" ca="1" si="352"/>
        <v>33.435890094458792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 t="e">
        <f t="shared" ca="1" si="373"/>
        <v>#N/A</v>
      </c>
      <c r="AD814" s="323" t="e">
        <f t="shared" ca="1" si="374"/>
        <v>#N/A</v>
      </c>
      <c r="AE814" s="324" t="e">
        <f t="shared" ca="1" si="353"/>
        <v>#N/A</v>
      </c>
      <c r="AG814" s="306">
        <f t="shared" ca="1" si="375"/>
        <v>1.6034092197252612</v>
      </c>
      <c r="AH814" s="304">
        <f t="shared" ca="1" si="376"/>
        <v>-8.1864128567989063</v>
      </c>
    </row>
    <row r="815" spans="1:34" x14ac:dyDescent="0.2">
      <c r="A815" s="347">
        <f t="shared" ca="1" si="354"/>
        <v>1E-4</v>
      </c>
      <c r="B815" s="304">
        <f t="shared" ca="1" si="355"/>
        <v>41.628100000001226</v>
      </c>
      <c r="D815" s="306">
        <f t="shared" ca="1" si="356"/>
        <v>-0.52479227731722822</v>
      </c>
      <c r="E815" s="307">
        <f t="shared" ca="1" si="357"/>
        <v>-1.6403949994844336</v>
      </c>
      <c r="F815" s="304">
        <f t="shared" ca="1" si="358"/>
        <v>1.7222957610890579</v>
      </c>
      <c r="G815" s="306">
        <f t="shared" ca="1" si="359"/>
        <v>8.7593249327265728</v>
      </c>
      <c r="H815" s="307">
        <f t="shared" ca="1" si="360"/>
        <v>-136.36012320644426</v>
      </c>
      <c r="I815" s="304">
        <f t="shared" ca="1" si="361"/>
        <v>136.64116866506134</v>
      </c>
      <c r="J815" s="306">
        <f t="shared" ca="1" si="362"/>
        <v>712.18513894933824</v>
      </c>
      <c r="K815" s="307">
        <f t="shared" ca="1" si="363"/>
        <v>-10.526608481565217</v>
      </c>
      <c r="L815" s="304">
        <f t="shared" ca="1" si="348"/>
        <v>712.26293012230553</v>
      </c>
      <c r="M815" s="306">
        <f t="shared" ca="1" si="364"/>
        <v>-1.5066477587068174</v>
      </c>
      <c r="N815" s="304">
        <f t="shared" ca="1" si="365"/>
        <v>-86.324557786745473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4.0843000000000034</v>
      </c>
      <c r="T815" s="304">
        <f t="shared" ca="1" si="349"/>
        <v>40.066983000000036</v>
      </c>
      <c r="U815" s="311">
        <f t="shared" ca="1" si="350"/>
        <v>0</v>
      </c>
      <c r="V815" s="306">
        <f t="shared" ca="1" si="351"/>
        <v>1.2262901886045074</v>
      </c>
      <c r="W815" s="304">
        <f t="shared" ca="1" si="352"/>
        <v>33.436014156844529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1.6033791334658289</v>
      </c>
      <c r="AH815" s="304">
        <f t="shared" ca="1" si="376"/>
        <v>-8.1864432324899656</v>
      </c>
    </row>
    <row r="816" spans="1:34" x14ac:dyDescent="0.2">
      <c r="A816" s="347">
        <f t="shared" ca="1" si="354"/>
        <v>1E-4</v>
      </c>
      <c r="B816" s="304">
        <f t="shared" ca="1" si="355"/>
        <v>41.628200000001229</v>
      </c>
      <c r="D816" s="306">
        <f t="shared" ca="1" si="356"/>
        <v>-0.52479046458370482</v>
      </c>
      <c r="E816" s="307">
        <f t="shared" ca="1" si="357"/>
        <v>-1.6403644449999941</v>
      </c>
      <c r="F816" s="304">
        <f t="shared" ca="1" si="358"/>
        <v>1.7222661072372409</v>
      </c>
      <c r="G816" s="306">
        <f t="shared" ca="1" si="359"/>
        <v>8.759272453680115</v>
      </c>
      <c r="H816" s="307">
        <f t="shared" ca="1" si="360"/>
        <v>-136.36028724288875</v>
      </c>
      <c r="I816" s="304">
        <f t="shared" ca="1" si="361"/>
        <v>136.64132899998054</v>
      </c>
      <c r="J816" s="306">
        <f t="shared" ca="1" si="362"/>
        <v>712.18513894933824</v>
      </c>
      <c r="K816" s="307">
        <f t="shared" ca="1" si="363"/>
        <v>-10.540244502087685</v>
      </c>
      <c r="L816" s="304">
        <f t="shared" ca="1" si="348"/>
        <v>712.26313178098167</v>
      </c>
      <c r="M816" s="306">
        <f t="shared" ca="1" si="364"/>
        <v>-1.5066482189379562</v>
      </c>
      <c r="N816" s="304">
        <f t="shared" ca="1" si="365"/>
        <v>-86.324584156047322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4.0843000000000034</v>
      </c>
      <c r="T816" s="304">
        <f t="shared" ca="1" si="349"/>
        <v>40.066983000000036</v>
      </c>
      <c r="U816" s="311">
        <f t="shared" ca="1" si="350"/>
        <v>0</v>
      </c>
      <c r="V816" s="306">
        <f t="shared" ca="1" si="351"/>
        <v>1.226291860777929</v>
      </c>
      <c r="W816" s="304">
        <f t="shared" ca="1" si="352"/>
        <v>33.436138218180957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1.6033490474588081</v>
      </c>
      <c r="AH816" s="304">
        <f t="shared" ca="1" si="376"/>
        <v>-8.1864736079241247</v>
      </c>
    </row>
    <row r="817" spans="1:34" x14ac:dyDescent="0.2">
      <c r="A817" s="347">
        <f t="shared" ca="1" si="354"/>
        <v>1E-4</v>
      </c>
      <c r="B817" s="304">
        <f t="shared" ca="1" si="355"/>
        <v>41.628300000001232</v>
      </c>
      <c r="D817" s="306">
        <f t="shared" ca="1" si="356"/>
        <v>-0.52478865183704915</v>
      </c>
      <c r="E817" s="307">
        <f t="shared" ca="1" si="357"/>
        <v>-1.640333890773892</v>
      </c>
      <c r="F817" s="304">
        <f t="shared" ca="1" si="358"/>
        <v>1.7222364536608679</v>
      </c>
      <c r="G817" s="306">
        <f t="shared" ca="1" si="359"/>
        <v>8.7592199748149309</v>
      </c>
      <c r="H817" s="307">
        <f t="shared" ca="1" si="360"/>
        <v>-136.36045127627781</v>
      </c>
      <c r="I817" s="304">
        <f t="shared" ca="1" si="361"/>
        <v>136.64148933189117</v>
      </c>
      <c r="J817" s="306">
        <f t="shared" ca="1" si="362"/>
        <v>712.18513894933824</v>
      </c>
      <c r="K817" s="307">
        <f t="shared" ca="1" si="363"/>
        <v>-10.553880539013644</v>
      </c>
      <c r="L817" s="304">
        <f t="shared" ca="1" si="348"/>
        <v>712.26333370090026</v>
      </c>
      <c r="M817" s="306">
        <f t="shared" ca="1" si="364"/>
        <v>-1.5066486791652576</v>
      </c>
      <c r="N817" s="304">
        <f t="shared" ca="1" si="365"/>
        <v>-86.324610525129302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4.0843000000000034</v>
      </c>
      <c r="T817" s="304">
        <f t="shared" ca="1" si="349"/>
        <v>40.066983000000036</v>
      </c>
      <c r="U817" s="311">
        <f t="shared" ca="1" si="350"/>
        <v>0</v>
      </c>
      <c r="V817" s="306">
        <f t="shared" ca="1" si="351"/>
        <v>1.2262935329556435</v>
      </c>
      <c r="W817" s="304">
        <f t="shared" ca="1" si="352"/>
        <v>33.436262278468114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1.6033189617042165</v>
      </c>
      <c r="AH817" s="304">
        <f t="shared" ca="1" si="376"/>
        <v>-8.1865039831013711</v>
      </c>
    </row>
    <row r="818" spans="1:34" x14ac:dyDescent="0.2">
      <c r="A818" s="347">
        <f t="shared" ca="1" si="354"/>
        <v>1E-4</v>
      </c>
      <c r="B818" s="304">
        <f t="shared" ca="1" si="355"/>
        <v>41.628400000001236</v>
      </c>
      <c r="D818" s="306">
        <f t="shared" ca="1" si="356"/>
        <v>-0.52478683907726209</v>
      </c>
      <c r="E818" s="307">
        <f t="shared" ca="1" si="357"/>
        <v>-1.6403033368061166</v>
      </c>
      <c r="F818" s="304">
        <f t="shared" ca="1" si="358"/>
        <v>1.7222068003599291</v>
      </c>
      <c r="G818" s="306">
        <f t="shared" ca="1" si="359"/>
        <v>8.759167496131024</v>
      </c>
      <c r="H818" s="307">
        <f t="shared" ca="1" si="360"/>
        <v>-136.36061530661149</v>
      </c>
      <c r="I818" s="304">
        <f t="shared" ca="1" si="361"/>
        <v>136.64164966079326</v>
      </c>
      <c r="J818" s="306">
        <f t="shared" ca="1" si="362"/>
        <v>712.18513894933824</v>
      </c>
      <c r="K818" s="307">
        <f t="shared" ca="1" si="363"/>
        <v>-10.567516592342788</v>
      </c>
      <c r="L818" s="304">
        <f t="shared" ca="1" si="348"/>
        <v>712.26353588206211</v>
      </c>
      <c r="M818" s="306">
        <f t="shared" ca="1" si="364"/>
        <v>-1.5066491393887216</v>
      </c>
      <c r="N818" s="304">
        <f t="shared" ca="1" si="365"/>
        <v>-86.324636893991425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4.0843000000000034</v>
      </c>
      <c r="T818" s="304">
        <f t="shared" ca="1" si="349"/>
        <v>40.066983000000036</v>
      </c>
      <c r="U818" s="311">
        <f t="shared" ca="1" si="350"/>
        <v>0</v>
      </c>
      <c r="V818" s="306">
        <f t="shared" ca="1" si="351"/>
        <v>1.2262952051376512</v>
      </c>
      <c r="W818" s="304">
        <f t="shared" ca="1" si="352"/>
        <v>33.436386337706011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1.6032888762020399</v>
      </c>
      <c r="AH818" s="304">
        <f t="shared" ca="1" si="376"/>
        <v>-8.1865343580217136</v>
      </c>
    </row>
    <row r="819" spans="1:34" x14ac:dyDescent="0.2">
      <c r="A819" s="347">
        <f t="shared" ca="1" si="354"/>
        <v>1E-4</v>
      </c>
      <c r="B819" s="304">
        <f t="shared" ca="1" si="355"/>
        <v>41.628500000001239</v>
      </c>
      <c r="D819" s="306">
        <f t="shared" ca="1" si="356"/>
        <v>-0.52478502630434487</v>
      </c>
      <c r="E819" s="307">
        <f t="shared" ca="1" si="357"/>
        <v>-1.6402727830966644</v>
      </c>
      <c r="F819" s="304">
        <f t="shared" ca="1" si="358"/>
        <v>1.7221771473344225</v>
      </c>
      <c r="G819" s="306">
        <f t="shared" ca="1" si="359"/>
        <v>8.7591150176283943</v>
      </c>
      <c r="H819" s="307">
        <f t="shared" ca="1" si="360"/>
        <v>-136.36077933388981</v>
      </c>
      <c r="I819" s="304">
        <f t="shared" ca="1" si="361"/>
        <v>136.64180998668687</v>
      </c>
      <c r="J819" s="306">
        <f t="shared" ca="1" si="362"/>
        <v>712.18513894933824</v>
      </c>
      <c r="K819" s="307">
        <f t="shared" ca="1" si="363"/>
        <v>-10.581152662074812</v>
      </c>
      <c r="L819" s="304">
        <f t="shared" ca="1" si="348"/>
        <v>712.26373832446814</v>
      </c>
      <c r="M819" s="306">
        <f t="shared" ca="1" si="364"/>
        <v>-1.5066495996083484</v>
      </c>
      <c r="N819" s="304">
        <f t="shared" ca="1" si="365"/>
        <v>-86.324663262633692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4.0843000000000034</v>
      </c>
      <c r="T819" s="304">
        <f t="shared" ca="1" si="349"/>
        <v>40.066983000000036</v>
      </c>
      <c r="U819" s="311">
        <f t="shared" ca="1" si="350"/>
        <v>0</v>
      </c>
      <c r="V819" s="306">
        <f t="shared" ca="1" si="351"/>
        <v>1.2262968773239518</v>
      </c>
      <c r="W819" s="304">
        <f t="shared" ca="1" si="352"/>
        <v>33.436510395894658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1.6032587909522764</v>
      </c>
      <c r="AH819" s="304">
        <f t="shared" ca="1" si="376"/>
        <v>-8.1865647326851558</v>
      </c>
    </row>
    <row r="820" spans="1:34" x14ac:dyDescent="0.2">
      <c r="A820" s="347">
        <f t="shared" ca="1" si="354"/>
        <v>1E-4</v>
      </c>
      <c r="B820" s="304">
        <f t="shared" ca="1" si="355"/>
        <v>41.628600000001242</v>
      </c>
      <c r="D820" s="306">
        <f t="shared" ca="1" si="356"/>
        <v>-0.5247832135182966</v>
      </c>
      <c r="E820" s="307">
        <f t="shared" ca="1" si="357"/>
        <v>-1.6402422296455352</v>
      </c>
      <c r="F820" s="304">
        <f t="shared" ca="1" si="358"/>
        <v>1.722147494584348</v>
      </c>
      <c r="G820" s="306">
        <f t="shared" ca="1" si="359"/>
        <v>8.7590625393070418</v>
      </c>
      <c r="H820" s="307">
        <f t="shared" ca="1" si="360"/>
        <v>-136.36094335811276</v>
      </c>
      <c r="I820" s="304">
        <f t="shared" ca="1" si="361"/>
        <v>136.64197030957189</v>
      </c>
      <c r="J820" s="306">
        <f t="shared" ca="1" si="362"/>
        <v>712.18513894933824</v>
      </c>
      <c r="K820" s="307">
        <f t="shared" ca="1" si="363"/>
        <v>-10.594788748209412</v>
      </c>
      <c r="L820" s="304">
        <f t="shared" ca="1" si="348"/>
        <v>712.26394102811878</v>
      </c>
      <c r="M820" s="306">
        <f t="shared" ca="1" si="364"/>
        <v>-1.5066500598241379</v>
      </c>
      <c r="N820" s="304">
        <f t="shared" ca="1" si="365"/>
        <v>-86.324689631056103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4.0843000000000034</v>
      </c>
      <c r="T820" s="304">
        <f t="shared" ca="1" si="349"/>
        <v>40.066983000000036</v>
      </c>
      <c r="U820" s="311">
        <f t="shared" ca="1" si="350"/>
        <v>0</v>
      </c>
      <c r="V820" s="306">
        <f t="shared" ca="1" si="351"/>
        <v>1.2262985495145451</v>
      </c>
      <c r="W820" s="304">
        <f t="shared" ca="1" si="352"/>
        <v>33.436634453033975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1.6032287059549262</v>
      </c>
      <c r="AH820" s="304">
        <f t="shared" ca="1" si="376"/>
        <v>-8.1865951070916996</v>
      </c>
    </row>
    <row r="821" spans="1:34" x14ac:dyDescent="0.2">
      <c r="A821" s="347">
        <f t="shared" ca="1" si="354"/>
        <v>1E-4</v>
      </c>
      <c r="B821" s="304">
        <f t="shared" ca="1" si="355"/>
        <v>41.628700000001245</v>
      </c>
      <c r="D821" s="306">
        <f t="shared" ca="1" si="356"/>
        <v>-0.52478140071911827</v>
      </c>
      <c r="E821" s="307">
        <f t="shared" ca="1" si="357"/>
        <v>-1.640211676452747</v>
      </c>
      <c r="F821" s="304">
        <f t="shared" ca="1" si="358"/>
        <v>1.7221178421097234</v>
      </c>
      <c r="G821" s="306">
        <f t="shared" ca="1" si="359"/>
        <v>8.7590100611669701</v>
      </c>
      <c r="H821" s="307">
        <f t="shared" ca="1" si="360"/>
        <v>-136.36110737928041</v>
      </c>
      <c r="I821" s="304">
        <f t="shared" ca="1" si="361"/>
        <v>136.6421306294485</v>
      </c>
      <c r="J821" s="306">
        <f t="shared" ca="1" si="362"/>
        <v>712.18513894933824</v>
      </c>
      <c r="K821" s="307">
        <f t="shared" ca="1" si="363"/>
        <v>-10.608424850746282</v>
      </c>
      <c r="L821" s="304">
        <f t="shared" ca="1" si="348"/>
        <v>712.26414399301484</v>
      </c>
      <c r="M821" s="306">
        <f t="shared" ca="1" si="364"/>
        <v>-1.50665052003609</v>
      </c>
      <c r="N821" s="304">
        <f t="shared" ca="1" si="365"/>
        <v>-86.324715999258629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4.0843000000000034</v>
      </c>
      <c r="T821" s="304">
        <f t="shared" ca="1" si="349"/>
        <v>40.066983000000036</v>
      </c>
      <c r="U821" s="311">
        <f t="shared" ca="1" si="350"/>
        <v>0</v>
      </c>
      <c r="V821" s="306">
        <f t="shared" ca="1" si="351"/>
        <v>1.2263002217094312</v>
      </c>
      <c r="W821" s="304">
        <f t="shared" ca="1" si="352"/>
        <v>33.436758509124061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1.6031986212100051</v>
      </c>
      <c r="AH821" s="304">
        <f t="shared" ca="1" si="376"/>
        <v>-8.1866254812413253</v>
      </c>
    </row>
    <row r="822" spans="1:34" x14ac:dyDescent="0.2">
      <c r="A822" s="347">
        <f t="shared" ca="1" si="354"/>
        <v>1E-4</v>
      </c>
      <c r="B822" s="304">
        <f t="shared" ca="1" si="355"/>
        <v>41.628800000001249</v>
      </c>
      <c r="D822" s="306">
        <f t="shared" ca="1" si="356"/>
        <v>-0.52477958790681234</v>
      </c>
      <c r="E822" s="307">
        <f t="shared" ca="1" si="357"/>
        <v>-1.6401811235182766</v>
      </c>
      <c r="F822" s="304">
        <f t="shared" ca="1" si="358"/>
        <v>1.7220881899105285</v>
      </c>
      <c r="G822" s="306">
        <f t="shared" ca="1" si="359"/>
        <v>8.7589575832081792</v>
      </c>
      <c r="H822" s="307">
        <f t="shared" ca="1" si="360"/>
        <v>-136.36127139739276</v>
      </c>
      <c r="I822" s="304">
        <f t="shared" ca="1" si="361"/>
        <v>136.64229094631662</v>
      </c>
      <c r="J822" s="306">
        <f t="shared" ca="1" si="362"/>
        <v>712.18513894933824</v>
      </c>
      <c r="K822" s="307">
        <f t="shared" ca="1" si="363"/>
        <v>-10.622060969685116</v>
      </c>
      <c r="L822" s="304">
        <f t="shared" ca="1" si="348"/>
        <v>712.26434721915712</v>
      </c>
      <c r="M822" s="306">
        <f t="shared" ca="1" si="364"/>
        <v>-1.5066509802442052</v>
      </c>
      <c r="N822" s="304">
        <f t="shared" ca="1" si="365"/>
        <v>-86.324742367241328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4.0843000000000034</v>
      </c>
      <c r="T822" s="304">
        <f t="shared" ca="1" si="349"/>
        <v>40.066983000000036</v>
      </c>
      <c r="U822" s="311">
        <f t="shared" ca="1" si="350"/>
        <v>0</v>
      </c>
      <c r="V822" s="306">
        <f t="shared" ca="1" si="351"/>
        <v>1.2263018939086103</v>
      </c>
      <c r="W822" s="304">
        <f t="shared" ca="1" si="352"/>
        <v>33.436882564164861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1.6031685367174937</v>
      </c>
      <c r="AH822" s="304">
        <f t="shared" ca="1" si="376"/>
        <v>-8.1866558551340578</v>
      </c>
    </row>
    <row r="823" spans="1:34" x14ac:dyDescent="0.2">
      <c r="A823" s="347">
        <f t="shared" ca="1" si="354"/>
        <v>1E-4</v>
      </c>
      <c r="B823" s="304">
        <f t="shared" ca="1" si="355"/>
        <v>41.628900000001252</v>
      </c>
      <c r="D823" s="306">
        <f t="shared" ca="1" si="356"/>
        <v>-0.52477777508137502</v>
      </c>
      <c r="E823" s="307">
        <f t="shared" ca="1" si="357"/>
        <v>-1.6401505708421364</v>
      </c>
      <c r="F823" s="304">
        <f t="shared" ca="1" si="358"/>
        <v>1.7220585379867737</v>
      </c>
      <c r="G823" s="306">
        <f t="shared" ca="1" si="359"/>
        <v>8.7589051054306708</v>
      </c>
      <c r="H823" s="307">
        <f t="shared" ca="1" si="360"/>
        <v>-136.36143541244985</v>
      </c>
      <c r="I823" s="304">
        <f t="shared" ca="1" si="361"/>
        <v>136.64245126017636</v>
      </c>
      <c r="J823" s="306">
        <f t="shared" ca="1" si="362"/>
        <v>712.18513894933824</v>
      </c>
      <c r="K823" s="307">
        <f t="shared" ca="1" si="363"/>
        <v>-10.635697105025608</v>
      </c>
      <c r="L823" s="304">
        <f t="shared" ca="1" si="348"/>
        <v>712.26455070654617</v>
      </c>
      <c r="M823" s="306">
        <f t="shared" ca="1" si="364"/>
        <v>-1.5066514404484832</v>
      </c>
      <c r="N823" s="304">
        <f t="shared" ca="1" si="365"/>
        <v>-86.32476873500417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4.0843000000000034</v>
      </c>
      <c r="T823" s="304">
        <f t="shared" ca="1" si="349"/>
        <v>40.066983000000036</v>
      </c>
      <c r="U823" s="311">
        <f t="shared" ca="1" si="350"/>
        <v>0</v>
      </c>
      <c r="V823" s="306">
        <f t="shared" ca="1" si="351"/>
        <v>1.226303566112082</v>
      </c>
      <c r="W823" s="304">
        <f t="shared" ca="1" si="352"/>
        <v>33.43700661815641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1.6031384524774026</v>
      </c>
      <c r="AH823" s="304">
        <f t="shared" ca="1" si="376"/>
        <v>-8.1866862287698829</v>
      </c>
    </row>
    <row r="824" spans="1:34" x14ac:dyDescent="0.2">
      <c r="A824" s="347">
        <f t="shared" ca="1" si="354"/>
        <v>1E-4</v>
      </c>
      <c r="B824" s="304">
        <f t="shared" ca="1" si="355"/>
        <v>41.629000000001255</v>
      </c>
      <c r="D824" s="306">
        <f t="shared" ca="1" si="356"/>
        <v>-0.52477596224280909</v>
      </c>
      <c r="E824" s="307">
        <f t="shared" ca="1" si="357"/>
        <v>-1.6401200184243176</v>
      </c>
      <c r="F824" s="304">
        <f t="shared" ca="1" si="358"/>
        <v>1.7220288863384523</v>
      </c>
      <c r="G824" s="306">
        <f t="shared" ca="1" si="359"/>
        <v>8.7588526278344467</v>
      </c>
      <c r="H824" s="307">
        <f t="shared" ca="1" si="360"/>
        <v>-136.3615994244517</v>
      </c>
      <c r="I824" s="304">
        <f t="shared" ca="1" si="361"/>
        <v>136.64261157102769</v>
      </c>
      <c r="J824" s="306">
        <f t="shared" ca="1" si="362"/>
        <v>712.18513894933824</v>
      </c>
      <c r="K824" s="307">
        <f t="shared" ca="1" si="363"/>
        <v>-10.649333256767454</v>
      </c>
      <c r="L824" s="304">
        <f t="shared" ca="1" si="348"/>
        <v>712.26475445518281</v>
      </c>
      <c r="M824" s="306">
        <f t="shared" ca="1" si="364"/>
        <v>-1.5066519006489241</v>
      </c>
      <c r="N824" s="304">
        <f t="shared" ca="1" si="365"/>
        <v>-86.324795102547171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4.0843000000000034</v>
      </c>
      <c r="T824" s="304">
        <f t="shared" ca="1" si="349"/>
        <v>40.066983000000036</v>
      </c>
      <c r="U824" s="311">
        <f t="shared" ca="1" si="350"/>
        <v>0</v>
      </c>
      <c r="V824" s="306">
        <f t="shared" ca="1" si="351"/>
        <v>1.2263052383198465</v>
      </c>
      <c r="W824" s="304">
        <f t="shared" ca="1" si="352"/>
        <v>33.437130671098693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 t="e">
        <f t="shared" ca="1" si="373"/>
        <v>#N/A</v>
      </c>
      <c r="AD824" s="323" t="e">
        <f t="shared" ca="1" si="374"/>
        <v>#N/A</v>
      </c>
      <c r="AE824" s="324" t="e">
        <f t="shared" ca="1" si="353"/>
        <v>#N/A</v>
      </c>
      <c r="AG824" s="306">
        <f t="shared" ca="1" si="375"/>
        <v>1.6031083684897247</v>
      </c>
      <c r="AH824" s="304">
        <f t="shared" ca="1" si="376"/>
        <v>-8.1867166021488096</v>
      </c>
    </row>
    <row r="825" spans="1:34" x14ac:dyDescent="0.2">
      <c r="A825" s="347">
        <f t="shared" ca="1" si="354"/>
        <v>1E-4</v>
      </c>
      <c r="B825" s="304">
        <f t="shared" ca="1" si="355"/>
        <v>41.629100000001259</v>
      </c>
      <c r="D825" s="306">
        <f t="shared" ca="1" si="356"/>
        <v>-0.52477414939111544</v>
      </c>
      <c r="E825" s="307">
        <f t="shared" ca="1" si="357"/>
        <v>-1.6400894662648255</v>
      </c>
      <c r="F825" s="304">
        <f t="shared" ca="1" si="358"/>
        <v>1.7219992349655702</v>
      </c>
      <c r="G825" s="306">
        <f t="shared" ca="1" si="359"/>
        <v>8.758800150419507</v>
      </c>
      <c r="H825" s="307">
        <f t="shared" ca="1" si="360"/>
        <v>-136.36176343339832</v>
      </c>
      <c r="I825" s="304">
        <f t="shared" ca="1" si="361"/>
        <v>136.64277187887063</v>
      </c>
      <c r="J825" s="306">
        <f t="shared" ca="1" si="362"/>
        <v>712.18513894933824</v>
      </c>
      <c r="K825" s="307">
        <f t="shared" ca="1" si="363"/>
        <v>-10.662969424910347</v>
      </c>
      <c r="L825" s="304">
        <f t="shared" ca="1" si="348"/>
        <v>712.26495846506782</v>
      </c>
      <c r="M825" s="306">
        <f t="shared" ca="1" si="364"/>
        <v>-1.506652360845528</v>
      </c>
      <c r="N825" s="304">
        <f t="shared" ca="1" si="365"/>
        <v>-86.324821469870315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4.0843000000000034</v>
      </c>
      <c r="T825" s="304">
        <f t="shared" ca="1" si="349"/>
        <v>40.066983000000036</v>
      </c>
      <c r="U825" s="311">
        <f t="shared" ca="1" si="350"/>
        <v>0</v>
      </c>
      <c r="V825" s="306">
        <f t="shared" ca="1" si="351"/>
        <v>1.2263069105319035</v>
      </c>
      <c r="W825" s="304">
        <f t="shared" ca="1" si="352"/>
        <v>33.437254722991696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1.60307828475446</v>
      </c>
      <c r="AH825" s="304">
        <f t="shared" ca="1" si="376"/>
        <v>-8.1867469752708342</v>
      </c>
    </row>
    <row r="826" spans="1:34" x14ac:dyDescent="0.2">
      <c r="A826" s="347">
        <f t="shared" ca="1" si="354"/>
        <v>1E-4</v>
      </c>
      <c r="B826" s="304">
        <f t="shared" ca="1" si="355"/>
        <v>41.629200000001262</v>
      </c>
      <c r="D826" s="306">
        <f t="shared" ca="1" si="356"/>
        <v>-0.5247723365262924</v>
      </c>
      <c r="E826" s="307">
        <f t="shared" ca="1" si="357"/>
        <v>-1.6400589143636637</v>
      </c>
      <c r="F826" s="304">
        <f t="shared" ca="1" si="358"/>
        <v>1.7219695838681308</v>
      </c>
      <c r="G826" s="306">
        <f t="shared" ca="1" si="359"/>
        <v>8.7587476731858551</v>
      </c>
      <c r="H826" s="307">
        <f t="shared" ca="1" si="360"/>
        <v>-136.36192743928976</v>
      </c>
      <c r="I826" s="304">
        <f t="shared" ca="1" si="361"/>
        <v>136.64293218370523</v>
      </c>
      <c r="J826" s="306">
        <f t="shared" ca="1" si="362"/>
        <v>712.18513894933824</v>
      </c>
      <c r="K826" s="307">
        <f t="shared" ca="1" si="363"/>
        <v>-10.676605609453981</v>
      </c>
      <c r="L826" s="304">
        <f t="shared" ca="1" si="348"/>
        <v>712.26516273620177</v>
      </c>
      <c r="M826" s="306">
        <f t="shared" ca="1" si="364"/>
        <v>-1.5066528210382948</v>
      </c>
      <c r="N826" s="304">
        <f t="shared" ca="1" si="365"/>
        <v>-86.324847836973618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4.0843000000000034</v>
      </c>
      <c r="T826" s="304">
        <f t="shared" ca="1" si="349"/>
        <v>40.066983000000036</v>
      </c>
      <c r="U826" s="311">
        <f t="shared" ca="1" si="350"/>
        <v>0</v>
      </c>
      <c r="V826" s="306">
        <f t="shared" ca="1" si="351"/>
        <v>1.2263085827482536</v>
      </c>
      <c r="W826" s="304">
        <f t="shared" ca="1" si="352"/>
        <v>33.437378773835455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1.6030482012716156</v>
      </c>
      <c r="AH826" s="304">
        <f t="shared" ca="1" si="376"/>
        <v>-8.1867773481359514</v>
      </c>
    </row>
    <row r="827" spans="1:34" x14ac:dyDescent="0.2">
      <c r="A827" s="347">
        <f t="shared" ca="1" si="354"/>
        <v>1E-4</v>
      </c>
      <c r="B827" s="304">
        <f t="shared" ca="1" si="355"/>
        <v>41.629300000001265</v>
      </c>
      <c r="D827" s="306">
        <f t="shared" ca="1" si="356"/>
        <v>-0.52477052364834331</v>
      </c>
      <c r="E827" s="307">
        <f t="shared" ca="1" si="357"/>
        <v>-1.6400283627208196</v>
      </c>
      <c r="F827" s="304">
        <f t="shared" ca="1" si="358"/>
        <v>1.7219399330461238</v>
      </c>
      <c r="G827" s="306">
        <f t="shared" ca="1" si="359"/>
        <v>8.7586951961334911</v>
      </c>
      <c r="H827" s="307">
        <f t="shared" ca="1" si="360"/>
        <v>-136.36209144212603</v>
      </c>
      <c r="I827" s="304">
        <f t="shared" ca="1" si="361"/>
        <v>136.6430924855315</v>
      </c>
      <c r="J827" s="306">
        <f t="shared" ca="1" si="362"/>
        <v>712.18513894933824</v>
      </c>
      <c r="K827" s="307">
        <f t="shared" ca="1" si="363"/>
        <v>-10.690241810398051</v>
      </c>
      <c r="L827" s="304">
        <f t="shared" ca="1" si="348"/>
        <v>712.26536726858546</v>
      </c>
      <c r="M827" s="306">
        <f t="shared" ca="1" si="364"/>
        <v>-1.5066532812272249</v>
      </c>
      <c r="N827" s="304">
        <f t="shared" ca="1" si="365"/>
        <v>-86.324874203857092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4.0843000000000034</v>
      </c>
      <c r="T827" s="304">
        <f t="shared" ca="1" si="349"/>
        <v>40.066983000000036</v>
      </c>
      <c r="U827" s="311">
        <f t="shared" ca="1" si="350"/>
        <v>0</v>
      </c>
      <c r="V827" s="306">
        <f t="shared" ca="1" si="351"/>
        <v>1.2263102549688962</v>
      </c>
      <c r="W827" s="304">
        <f t="shared" ca="1" si="352"/>
        <v>33.437502823629941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1.6030181180411827</v>
      </c>
      <c r="AH827" s="304">
        <f t="shared" ca="1" si="376"/>
        <v>-8.1868077207441736</v>
      </c>
    </row>
    <row r="828" spans="1:34" x14ac:dyDescent="0.2">
      <c r="A828" s="347">
        <f t="shared" ca="1" si="354"/>
        <v>1E-4</v>
      </c>
      <c r="B828" s="304">
        <f t="shared" ca="1" si="355"/>
        <v>41.629400000001269</v>
      </c>
      <c r="D828" s="306">
        <f t="shared" ca="1" si="356"/>
        <v>-0.5247687107572645</v>
      </c>
      <c r="E828" s="307">
        <f t="shared" ca="1" si="357"/>
        <v>-1.6399978113363058</v>
      </c>
      <c r="F828" s="304">
        <f t="shared" ca="1" si="358"/>
        <v>1.7219102824995602</v>
      </c>
      <c r="G828" s="306">
        <f t="shared" ca="1" si="359"/>
        <v>8.758642719262415</v>
      </c>
      <c r="H828" s="307">
        <f t="shared" ca="1" si="360"/>
        <v>-136.36225544190717</v>
      </c>
      <c r="I828" s="304">
        <f t="shared" ca="1" si="361"/>
        <v>136.64325278434947</v>
      </c>
      <c r="J828" s="306">
        <f t="shared" ca="1" si="362"/>
        <v>712.18513894933824</v>
      </c>
      <c r="K828" s="307">
        <f t="shared" ca="1" si="363"/>
        <v>-10.703878027742252</v>
      </c>
      <c r="L828" s="304">
        <f t="shared" ca="1" si="348"/>
        <v>712.26557206221969</v>
      </c>
      <c r="M828" s="306">
        <f t="shared" ca="1" si="364"/>
        <v>-1.5066537414123178</v>
      </c>
      <c r="N828" s="304">
        <f t="shared" ca="1" si="365"/>
        <v>-86.324900570520711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4.0843000000000034</v>
      </c>
      <c r="T828" s="304">
        <f t="shared" ca="1" si="349"/>
        <v>40.066983000000036</v>
      </c>
      <c r="U828" s="311">
        <f t="shared" ca="1" si="350"/>
        <v>0</v>
      </c>
      <c r="V828" s="306">
        <f t="shared" ca="1" si="351"/>
        <v>1.2263119271938319</v>
      </c>
      <c r="W828" s="304">
        <f t="shared" ca="1" si="352"/>
        <v>33.437626872375176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1.60298803506317</v>
      </c>
      <c r="AH828" s="304">
        <f t="shared" ca="1" si="376"/>
        <v>-8.1868380930954903</v>
      </c>
    </row>
    <row r="829" spans="1:34" x14ac:dyDescent="0.2">
      <c r="A829" s="347">
        <f t="shared" ca="1" si="354"/>
        <v>1E-4</v>
      </c>
      <c r="B829" s="304">
        <f t="shared" ca="1" si="355"/>
        <v>41.629500000001272</v>
      </c>
      <c r="D829" s="306">
        <f t="shared" ca="1" si="356"/>
        <v>-0.52476689785306108</v>
      </c>
      <c r="E829" s="307">
        <f t="shared" ca="1" si="357"/>
        <v>-1.6399672602101116</v>
      </c>
      <c r="F829" s="304">
        <f t="shared" ca="1" si="358"/>
        <v>1.7218806322284321</v>
      </c>
      <c r="G829" s="306">
        <f t="shared" ca="1" si="359"/>
        <v>8.7585902425726303</v>
      </c>
      <c r="H829" s="307">
        <f t="shared" ca="1" si="360"/>
        <v>-136.3624194386332</v>
      </c>
      <c r="I829" s="304">
        <f t="shared" ca="1" si="361"/>
        <v>136.64341308015918</v>
      </c>
      <c r="J829" s="306">
        <f t="shared" ca="1" si="362"/>
        <v>712.18513894933824</v>
      </c>
      <c r="K829" s="307">
        <f t="shared" ca="1" si="363"/>
        <v>-10.717514261486279</v>
      </c>
      <c r="L829" s="304">
        <f t="shared" ca="1" si="348"/>
        <v>712.2657771171049</v>
      </c>
      <c r="M829" s="306">
        <f t="shared" ca="1" si="364"/>
        <v>-1.506654201593574</v>
      </c>
      <c r="N829" s="304">
        <f t="shared" ca="1" si="365"/>
        <v>-86.324926936964502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4.0843000000000034</v>
      </c>
      <c r="T829" s="304">
        <f t="shared" ca="1" si="349"/>
        <v>40.066983000000036</v>
      </c>
      <c r="U829" s="311">
        <f t="shared" ca="1" si="350"/>
        <v>0</v>
      </c>
      <c r="V829" s="306">
        <f t="shared" ca="1" si="351"/>
        <v>1.2263135994230596</v>
      </c>
      <c r="W829" s="304">
        <f t="shared" ca="1" si="352"/>
        <v>33.437750920071153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1.602957952337567</v>
      </c>
      <c r="AH829" s="304">
        <f t="shared" ca="1" si="376"/>
        <v>-8.1868684651899102</v>
      </c>
    </row>
    <row r="830" spans="1:34" x14ac:dyDescent="0.2">
      <c r="A830" s="347">
        <f t="shared" ca="1" si="354"/>
        <v>1E-4</v>
      </c>
      <c r="B830" s="304">
        <f t="shared" ca="1" si="355"/>
        <v>41.629600000001275</v>
      </c>
      <c r="D830" s="306">
        <f t="shared" ca="1" si="356"/>
        <v>-0.5247650849357296</v>
      </c>
      <c r="E830" s="307">
        <f t="shared" ca="1" si="357"/>
        <v>-1.6399367093422441</v>
      </c>
      <c r="F830" s="304">
        <f t="shared" ca="1" si="358"/>
        <v>1.7218509822327457</v>
      </c>
      <c r="G830" s="306">
        <f t="shared" ca="1" si="359"/>
        <v>8.758537766064137</v>
      </c>
      <c r="H830" s="307">
        <f t="shared" ca="1" si="360"/>
        <v>-136.36258343230412</v>
      </c>
      <c r="I830" s="304">
        <f t="shared" ca="1" si="361"/>
        <v>136.64357337296062</v>
      </c>
      <c r="J830" s="306">
        <f t="shared" ca="1" si="362"/>
        <v>712.18513894933824</v>
      </c>
      <c r="K830" s="307">
        <f t="shared" ca="1" si="363"/>
        <v>-10.731150511629826</v>
      </c>
      <c r="L830" s="304">
        <f t="shared" ca="1" si="348"/>
        <v>712.26598243324202</v>
      </c>
      <c r="M830" s="306">
        <f t="shared" ca="1" si="364"/>
        <v>-1.5066546617709935</v>
      </c>
      <c r="N830" s="304">
        <f t="shared" ca="1" si="365"/>
        <v>-86.324953303188465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4.0843000000000034</v>
      </c>
      <c r="T830" s="304">
        <f t="shared" ca="1" si="349"/>
        <v>40.066983000000036</v>
      </c>
      <c r="U830" s="311">
        <f t="shared" ca="1" si="350"/>
        <v>0</v>
      </c>
      <c r="V830" s="306">
        <f t="shared" ca="1" si="351"/>
        <v>1.2263152716565804</v>
      </c>
      <c r="W830" s="304">
        <f t="shared" ca="1" si="352"/>
        <v>33.437874966717864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1.602927869864379</v>
      </c>
      <c r="AH830" s="304">
        <f t="shared" ca="1" si="376"/>
        <v>-8.186898837027428</v>
      </c>
    </row>
    <row r="831" spans="1:34" x14ac:dyDescent="0.2">
      <c r="A831" s="347">
        <f t="shared" ca="1" si="354"/>
        <v>1E-4</v>
      </c>
      <c r="B831" s="304">
        <f t="shared" ca="1" si="355"/>
        <v>41.629700000001279</v>
      </c>
      <c r="D831" s="306">
        <f t="shared" ca="1" si="356"/>
        <v>-0.52476327200527073</v>
      </c>
      <c r="E831" s="307">
        <f t="shared" ca="1" si="357"/>
        <v>-1.6399061587327015</v>
      </c>
      <c r="F831" s="304">
        <f t="shared" ca="1" si="358"/>
        <v>1.7218213325125002</v>
      </c>
      <c r="G831" s="306">
        <f t="shared" ca="1" si="359"/>
        <v>8.758485289736937</v>
      </c>
      <c r="H831" s="307">
        <f t="shared" ca="1" si="360"/>
        <v>-136.36274742291999</v>
      </c>
      <c r="I831" s="304">
        <f t="shared" ca="1" si="361"/>
        <v>136.64373366275387</v>
      </c>
      <c r="J831" s="306">
        <f t="shared" ca="1" si="362"/>
        <v>712.18513894933824</v>
      </c>
      <c r="K831" s="307">
        <f t="shared" ca="1" si="363"/>
        <v>-10.744786778172587</v>
      </c>
      <c r="L831" s="304">
        <f t="shared" ca="1" si="348"/>
        <v>712.26618801063171</v>
      </c>
      <c r="M831" s="306">
        <f t="shared" ca="1" si="364"/>
        <v>-1.5066551219445761</v>
      </c>
      <c r="N831" s="304">
        <f t="shared" ca="1" si="365"/>
        <v>-86.324979669192587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4.0843000000000034</v>
      </c>
      <c r="T831" s="304">
        <f t="shared" ca="1" si="349"/>
        <v>40.066983000000036</v>
      </c>
      <c r="U831" s="311">
        <f t="shared" ca="1" si="350"/>
        <v>0</v>
      </c>
      <c r="V831" s="306">
        <f t="shared" ca="1" si="351"/>
        <v>1.2263169438943937</v>
      </c>
      <c r="W831" s="304">
        <f t="shared" ca="1" si="352"/>
        <v>33.437999012315345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1.6028977876436112</v>
      </c>
      <c r="AH831" s="304">
        <f t="shared" ca="1" si="376"/>
        <v>-8.1869292086080439</v>
      </c>
    </row>
    <row r="832" spans="1:34" x14ac:dyDescent="0.2">
      <c r="A832" s="347">
        <f t="shared" ca="1" si="354"/>
        <v>1E-4</v>
      </c>
      <c r="B832" s="304">
        <f t="shared" ca="1" si="355"/>
        <v>41.629800000001282</v>
      </c>
      <c r="D832" s="306">
        <f t="shared" ca="1" si="356"/>
        <v>-0.5247614590616877</v>
      </c>
      <c r="E832" s="307">
        <f t="shared" ca="1" si="357"/>
        <v>-1.6398756083814749</v>
      </c>
      <c r="F832" s="304">
        <f t="shared" ca="1" si="358"/>
        <v>1.7217916830676887</v>
      </c>
      <c r="G832" s="306">
        <f t="shared" ca="1" si="359"/>
        <v>8.7584328135910301</v>
      </c>
      <c r="H832" s="307">
        <f t="shared" ca="1" si="360"/>
        <v>-136.36291141048082</v>
      </c>
      <c r="I832" s="304">
        <f t="shared" ca="1" si="361"/>
        <v>136.64389394953889</v>
      </c>
      <c r="J832" s="306">
        <f t="shared" ca="1" si="362"/>
        <v>712.18513894933824</v>
      </c>
      <c r="K832" s="307">
        <f t="shared" ca="1" si="363"/>
        <v>-10.758423061114257</v>
      </c>
      <c r="L832" s="304">
        <f t="shared" ca="1" si="348"/>
        <v>712.26639384927466</v>
      </c>
      <c r="M832" s="306">
        <f t="shared" ca="1" si="364"/>
        <v>-1.5066555821143222</v>
      </c>
      <c r="N832" s="304">
        <f t="shared" ca="1" si="365"/>
        <v>-86.325006034976894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4.0843000000000034</v>
      </c>
      <c r="T832" s="304">
        <f t="shared" ca="1" si="349"/>
        <v>40.066983000000036</v>
      </c>
      <c r="U832" s="311">
        <f t="shared" ca="1" si="350"/>
        <v>0</v>
      </c>
      <c r="V832" s="306">
        <f t="shared" ca="1" si="351"/>
        <v>1.226318616136499</v>
      </c>
      <c r="W832" s="304">
        <f t="shared" ca="1" si="352"/>
        <v>33.438123056863539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1.6028677056752461</v>
      </c>
      <c r="AH832" s="304">
        <f t="shared" ca="1" si="376"/>
        <v>-8.1869595799317665</v>
      </c>
    </row>
    <row r="833" spans="1:34" x14ac:dyDescent="0.2">
      <c r="A833" s="347">
        <f t="shared" ca="1" si="354"/>
        <v>1E-4</v>
      </c>
      <c r="B833" s="304">
        <f t="shared" ca="1" si="355"/>
        <v>41.629900000001285</v>
      </c>
      <c r="D833" s="306">
        <f t="shared" ca="1" si="356"/>
        <v>-0.52475964610497672</v>
      </c>
      <c r="E833" s="307">
        <f t="shared" ca="1" si="357"/>
        <v>-1.6398450582885786</v>
      </c>
      <c r="F833" s="304">
        <f t="shared" ca="1" si="358"/>
        <v>1.7217620338983237</v>
      </c>
      <c r="G833" s="306">
        <f t="shared" ca="1" si="359"/>
        <v>8.75838033762642</v>
      </c>
      <c r="H833" s="307">
        <f t="shared" ca="1" si="360"/>
        <v>-136.36307539498665</v>
      </c>
      <c r="I833" s="304">
        <f t="shared" ca="1" si="361"/>
        <v>136.64405423331576</v>
      </c>
      <c r="J833" s="306">
        <f t="shared" ca="1" si="362"/>
        <v>712.18513894933824</v>
      </c>
      <c r="K833" s="307">
        <f t="shared" ca="1" si="363"/>
        <v>-10.772059360454531</v>
      </c>
      <c r="L833" s="304">
        <f t="shared" ca="1" si="348"/>
        <v>712.26659994917168</v>
      </c>
      <c r="M833" s="306">
        <f t="shared" ca="1" si="364"/>
        <v>-1.5066560422802315</v>
      </c>
      <c r="N833" s="304">
        <f t="shared" ca="1" si="365"/>
        <v>-86.325032400541389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4.0843000000000034</v>
      </c>
      <c r="T833" s="304">
        <f t="shared" ca="1" si="349"/>
        <v>40.066983000000036</v>
      </c>
      <c r="U833" s="311">
        <f t="shared" ca="1" si="350"/>
        <v>0</v>
      </c>
      <c r="V833" s="306">
        <f t="shared" ca="1" si="351"/>
        <v>1.2263202883828974</v>
      </c>
      <c r="W833" s="304">
        <f t="shared" ca="1" si="352"/>
        <v>33.43824710036251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1.602837623959303</v>
      </c>
      <c r="AH833" s="304">
        <f t="shared" ca="1" si="376"/>
        <v>-8.1869899509985835</v>
      </c>
    </row>
    <row r="834" spans="1:34" x14ac:dyDescent="0.2">
      <c r="A834" s="347">
        <f t="shared" ca="1" si="354"/>
        <v>1E-4</v>
      </c>
      <c r="B834" s="304">
        <f t="shared" ca="1" si="355"/>
        <v>41.630000000001289</v>
      </c>
      <c r="D834" s="306">
        <f t="shared" ca="1" si="356"/>
        <v>-0.52475783313514102</v>
      </c>
      <c r="E834" s="307">
        <f t="shared" ca="1" si="357"/>
        <v>-1.6398145084540001</v>
      </c>
      <c r="F834" s="304">
        <f t="shared" ca="1" si="358"/>
        <v>1.7217323850043951</v>
      </c>
      <c r="G834" s="306">
        <f t="shared" ca="1" si="359"/>
        <v>8.7583278618431066</v>
      </c>
      <c r="H834" s="307">
        <f t="shared" ca="1" si="360"/>
        <v>-136.36323937643749</v>
      </c>
      <c r="I834" s="304">
        <f t="shared" ca="1" si="361"/>
        <v>136.64421451408447</v>
      </c>
      <c r="J834" s="306">
        <f t="shared" ca="1" si="362"/>
        <v>712.18513894933824</v>
      </c>
      <c r="K834" s="307">
        <f t="shared" ca="1" si="363"/>
        <v>-10.785695676193102</v>
      </c>
      <c r="L834" s="304">
        <f t="shared" ca="1" si="348"/>
        <v>712.26680631032332</v>
      </c>
      <c r="M834" s="306">
        <f t="shared" ca="1" si="364"/>
        <v>-1.5066565024423042</v>
      </c>
      <c r="N834" s="304">
        <f t="shared" ca="1" si="365"/>
        <v>-86.325058765886041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4.0843000000000034</v>
      </c>
      <c r="T834" s="304">
        <f t="shared" ca="1" si="349"/>
        <v>40.066983000000036</v>
      </c>
      <c r="U834" s="311">
        <f t="shared" ca="1" si="350"/>
        <v>0</v>
      </c>
      <c r="V834" s="306">
        <f t="shared" ca="1" si="351"/>
        <v>1.2263219606335882</v>
      </c>
      <c r="W834" s="304">
        <f t="shared" ca="1" si="352"/>
        <v>33.438371142812215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 t="e">
        <f t="shared" ca="1" si="373"/>
        <v>#N/A</v>
      </c>
      <c r="AD834" s="323" t="e">
        <f t="shared" ca="1" si="374"/>
        <v>#N/A</v>
      </c>
      <c r="AE834" s="324" t="e">
        <f t="shared" ca="1" si="353"/>
        <v>#N/A</v>
      </c>
      <c r="AG834" s="306">
        <f t="shared" ca="1" si="375"/>
        <v>1.6028075424957713</v>
      </c>
      <c r="AH834" s="304">
        <f t="shared" ca="1" si="376"/>
        <v>-8.1870203218085056</v>
      </c>
    </row>
    <row r="835" spans="1:34" x14ac:dyDescent="0.2">
      <c r="A835" s="347">
        <f t="shared" ca="1" si="354"/>
        <v>1E-4</v>
      </c>
      <c r="B835" s="304">
        <f t="shared" ca="1" si="355"/>
        <v>41.630100000001292</v>
      </c>
      <c r="D835" s="306">
        <f t="shared" ca="1" si="356"/>
        <v>-0.52475602015218092</v>
      </c>
      <c r="E835" s="307">
        <f t="shared" ca="1" si="357"/>
        <v>-1.6397839588777448</v>
      </c>
      <c r="F835" s="304">
        <f t="shared" ca="1" si="358"/>
        <v>1.7217027363859085</v>
      </c>
      <c r="G835" s="306">
        <f t="shared" ca="1" si="359"/>
        <v>8.7582753862410918</v>
      </c>
      <c r="H835" s="307">
        <f t="shared" ca="1" si="360"/>
        <v>-136.36340335483337</v>
      </c>
      <c r="I835" s="304">
        <f t="shared" ca="1" si="361"/>
        <v>136.64437479184505</v>
      </c>
      <c r="J835" s="306">
        <f t="shared" ca="1" si="362"/>
        <v>712.18513894933824</v>
      </c>
      <c r="K835" s="307">
        <f t="shared" ca="1" si="363"/>
        <v>-10.799332008329666</v>
      </c>
      <c r="L835" s="304">
        <f t="shared" ca="1" si="348"/>
        <v>712.26701293273038</v>
      </c>
      <c r="M835" s="306">
        <f t="shared" ca="1" si="364"/>
        <v>-1.5066569626005404</v>
      </c>
      <c r="N835" s="304">
        <f t="shared" ca="1" si="365"/>
        <v>-86.32508513101088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4.0843000000000034</v>
      </c>
      <c r="T835" s="304">
        <f t="shared" ca="1" si="349"/>
        <v>40.066983000000036</v>
      </c>
      <c r="U835" s="311">
        <f t="shared" ca="1" si="350"/>
        <v>0</v>
      </c>
      <c r="V835" s="306">
        <f t="shared" ca="1" si="351"/>
        <v>1.2263236328885714</v>
      </c>
      <c r="W835" s="304">
        <f t="shared" ca="1" si="352"/>
        <v>33.438495184212677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1.6027774612846528</v>
      </c>
      <c r="AH835" s="304">
        <f t="shared" ca="1" si="376"/>
        <v>-8.1870506923615274</v>
      </c>
    </row>
    <row r="836" spans="1:34" x14ac:dyDescent="0.2">
      <c r="A836" s="347">
        <f t="shared" ca="1" si="354"/>
        <v>1E-4</v>
      </c>
      <c r="B836" s="304">
        <f t="shared" ca="1" si="355"/>
        <v>41.630200000001295</v>
      </c>
      <c r="D836" s="306">
        <f t="shared" ca="1" si="356"/>
        <v>-0.52475420715609566</v>
      </c>
      <c r="E836" s="307">
        <f t="shared" ca="1" si="357"/>
        <v>-1.6397534095598107</v>
      </c>
      <c r="F836" s="304">
        <f t="shared" ca="1" si="358"/>
        <v>1.7216730880428628</v>
      </c>
      <c r="G836" s="306">
        <f t="shared" ca="1" si="359"/>
        <v>8.7582229108203755</v>
      </c>
      <c r="H836" s="307">
        <f t="shared" ca="1" si="360"/>
        <v>-136.36356733017433</v>
      </c>
      <c r="I836" s="304">
        <f t="shared" ca="1" si="361"/>
        <v>136.64453506659754</v>
      </c>
      <c r="J836" s="306">
        <f t="shared" ca="1" si="362"/>
        <v>712.18513894933824</v>
      </c>
      <c r="K836" s="307">
        <f t="shared" ca="1" si="363"/>
        <v>-10.812968356863916</v>
      </c>
      <c r="L836" s="304">
        <f t="shared" ref="L836:L899" ca="1" si="377">SQRT(pos_x^2+pos_z^2)</f>
        <v>712.26721981639366</v>
      </c>
      <c r="M836" s="306">
        <f t="shared" ca="1" si="364"/>
        <v>-1.5066574227549401</v>
      </c>
      <c r="N836" s="304">
        <f t="shared" ca="1" si="365"/>
        <v>-86.325111495915905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4.0843000000000034</v>
      </c>
      <c r="T836" s="304">
        <f t="shared" ref="T836:T899" ca="1" si="378">m*g</f>
        <v>40.066983000000036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1.2263253051478471</v>
      </c>
      <c r="W836" s="304">
        <f t="shared" ref="W836:W899" ca="1" si="381">1/2*Rho*Sref*Cx*vit_xz^2</f>
        <v>33.438619224563901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1.6027473803259458</v>
      </c>
      <c r="AH836" s="304">
        <f t="shared" ca="1" si="376"/>
        <v>-8.1870810626576525</v>
      </c>
    </row>
    <row r="837" spans="1:34" x14ac:dyDescent="0.2">
      <c r="A837" s="347">
        <f t="shared" ref="A837:A900" ca="1" si="383">IF(B836+0.01&lt;=T_ini+ROUNDUP(Temps_fin_propu,0), 0.01, IF(K836&gt;0, 0.1, 0.0001))</f>
        <v>1E-4</v>
      </c>
      <c r="B837" s="304">
        <f t="shared" ref="B837:B900" ca="1" si="384">B836+pas</f>
        <v>41.630300000001299</v>
      </c>
      <c r="D837" s="306">
        <f t="shared" ref="D837:D900" ca="1" si="385">IF(AND(L836&lt;L_rampe,Poussee&lt;Poids*SIN(M836)),0,(-W836+Poussee)/m*COS(M836)-U836/m*SIN(M836))</f>
        <v>-0.5247523941468859</v>
      </c>
      <c r="E837" s="307">
        <f t="shared" ref="E837:E900" ca="1" si="386">IF(AND(L836&lt;L_rampe,Poussee&lt;Poids*SIN(M836)),0,(-W836+Poussee)/m*SIN(M836)+U836/m*COS(M836)-Poids/m)</f>
        <v>-1.6397228605001981</v>
      </c>
      <c r="F837" s="304">
        <f t="shared" ref="F837:F900" ca="1" si="387">SQRT(acc_x^2+acc_z^2)</f>
        <v>1.7216434399752583</v>
      </c>
      <c r="G837" s="306">
        <f t="shared" ref="G837:G900" ca="1" si="388">G836+acc_x*pas</f>
        <v>8.7581704355809613</v>
      </c>
      <c r="H837" s="307">
        <f t="shared" ref="H837:H900" ca="1" si="389">H836+acc_z*pas</f>
        <v>-136.36373130246039</v>
      </c>
      <c r="I837" s="304">
        <f t="shared" ref="I837:I900" ca="1" si="390">SQRT(vit_x^2+vit_z^2)</f>
        <v>136.64469533834199</v>
      </c>
      <c r="J837" s="306">
        <f t="shared" ref="J837:J900" ca="1" si="391">J836+0.5*(vit_x+G836)*pas*(K836&gt;=0)</f>
        <v>712.18513894933824</v>
      </c>
      <c r="K837" s="307">
        <f t="shared" ref="K837:K900" ca="1" si="392">K836+0.5*(vit_z+H836)*pas</f>
        <v>-10.826604721795547</v>
      </c>
      <c r="L837" s="304">
        <f t="shared" ca="1" si="377"/>
        <v>712.26742696131362</v>
      </c>
      <c r="M837" s="306">
        <f t="shared" ref="M837:M900" ca="1" si="393">IF(AND(L836&gt;L_rampe,G837&gt;0),ATAN2(G837,H837),$M$4)</f>
        <v>-1.5066578829055033</v>
      </c>
      <c r="N837" s="304">
        <f t="shared" ref="N837:N900" ca="1" si="394">DEGREES(Beta)</f>
        <v>-86.325137860601117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4.0843000000000034</v>
      </c>
      <c r="T837" s="304">
        <f t="shared" ca="1" si="378"/>
        <v>40.066983000000036</v>
      </c>
      <c r="U837" s="311">
        <f t="shared" ca="1" si="379"/>
        <v>0</v>
      </c>
      <c r="V837" s="306">
        <f t="shared" ca="1" si="380"/>
        <v>1.2263269774114154</v>
      </c>
      <c r="W837" s="304">
        <f t="shared" ca="1" si="381"/>
        <v>33.438743263865888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1.6027172996196484</v>
      </c>
      <c r="AH837" s="304">
        <f t="shared" ref="AH837:AH900" ca="1" si="405">IF(AND(L836&lt;L_rampe,Poussee&lt;Poids*SIN(M836)), g*SIN(M836), (-W836+Poussee)/m)</f>
        <v>-8.1871114326968808</v>
      </c>
    </row>
    <row r="838" spans="1:34" x14ac:dyDescent="0.2">
      <c r="A838" s="347">
        <f t="shared" ca="1" si="383"/>
        <v>1E-4</v>
      </c>
      <c r="B838" s="304">
        <f t="shared" ca="1" si="384"/>
        <v>41.630400000001302</v>
      </c>
      <c r="D838" s="306">
        <f t="shared" ca="1" si="385"/>
        <v>-0.52475058112455242</v>
      </c>
      <c r="E838" s="307">
        <f t="shared" ca="1" si="386"/>
        <v>-1.6396923116988997</v>
      </c>
      <c r="F838" s="304">
        <f t="shared" ca="1" si="387"/>
        <v>1.7216137921830894</v>
      </c>
      <c r="G838" s="306">
        <f t="shared" ca="1" si="388"/>
        <v>8.7581179605228492</v>
      </c>
      <c r="H838" s="307">
        <f t="shared" ca="1" si="389"/>
        <v>-136.36389527169158</v>
      </c>
      <c r="I838" s="304">
        <f t="shared" ca="1" si="390"/>
        <v>136.64485560707837</v>
      </c>
      <c r="J838" s="306">
        <f t="shared" ca="1" si="391"/>
        <v>712.18513894933824</v>
      </c>
      <c r="K838" s="307">
        <f t="shared" ca="1" si="392"/>
        <v>-10.840241103124255</v>
      </c>
      <c r="L838" s="304">
        <f t="shared" ca="1" si="377"/>
        <v>712.26763436749115</v>
      </c>
      <c r="M838" s="306">
        <f t="shared" ca="1" si="393"/>
        <v>-1.50665834305223</v>
      </c>
      <c r="N838" s="304">
        <f t="shared" ca="1" si="394"/>
        <v>-86.325164225066516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4.0843000000000034</v>
      </c>
      <c r="T838" s="304">
        <f t="shared" ca="1" si="378"/>
        <v>40.066983000000036</v>
      </c>
      <c r="U838" s="311">
        <f t="shared" ca="1" si="379"/>
        <v>0</v>
      </c>
      <c r="V838" s="306">
        <f t="shared" ca="1" si="380"/>
        <v>1.226328649679276</v>
      </c>
      <c r="W838" s="304">
        <f t="shared" ca="1" si="381"/>
        <v>33.438867302118624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1.6026872191657606</v>
      </c>
      <c r="AH838" s="304">
        <f t="shared" ca="1" si="405"/>
        <v>-8.187141802479216</v>
      </c>
    </row>
    <row r="839" spans="1:34" x14ac:dyDescent="0.2">
      <c r="A839" s="347">
        <f t="shared" ca="1" si="383"/>
        <v>1E-4</v>
      </c>
      <c r="B839" s="304">
        <f t="shared" ca="1" si="384"/>
        <v>41.630500000001305</v>
      </c>
      <c r="D839" s="306">
        <f t="shared" ca="1" si="385"/>
        <v>-0.52474876808909543</v>
      </c>
      <c r="E839" s="307">
        <f t="shared" ca="1" si="386"/>
        <v>-1.6396617631559263</v>
      </c>
      <c r="F839" s="304">
        <f t="shared" ca="1" si="387"/>
        <v>1.7215841446663662</v>
      </c>
      <c r="G839" s="306">
        <f t="shared" ca="1" si="388"/>
        <v>8.7580654856460409</v>
      </c>
      <c r="H839" s="307">
        <f t="shared" ca="1" si="389"/>
        <v>-136.36405923786788</v>
      </c>
      <c r="I839" s="304">
        <f t="shared" ca="1" si="390"/>
        <v>136.64501587280674</v>
      </c>
      <c r="J839" s="306">
        <f t="shared" ca="1" si="391"/>
        <v>712.18513894933824</v>
      </c>
      <c r="K839" s="307">
        <f t="shared" ca="1" si="392"/>
        <v>-10.853877500849732</v>
      </c>
      <c r="L839" s="304">
        <f t="shared" ca="1" si="377"/>
        <v>712.26784203492696</v>
      </c>
      <c r="M839" s="306">
        <f t="shared" ca="1" si="393"/>
        <v>-1.5066588031951202</v>
      </c>
      <c r="N839" s="304">
        <f t="shared" ca="1" si="394"/>
        <v>-86.325190589312101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4.0843000000000034</v>
      </c>
      <c r="T839" s="304">
        <f t="shared" ca="1" si="378"/>
        <v>40.066983000000036</v>
      </c>
      <c r="U839" s="311">
        <f t="shared" ca="1" si="379"/>
        <v>0</v>
      </c>
      <c r="V839" s="306">
        <f t="shared" ca="1" si="380"/>
        <v>1.226330321951429</v>
      </c>
      <c r="W839" s="304">
        <f t="shared" ca="1" si="381"/>
        <v>33.438991339322122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1.6026571389642896</v>
      </c>
      <c r="AH839" s="304">
        <f t="shared" ca="1" si="405"/>
        <v>-8.1871721720046509</v>
      </c>
    </row>
    <row r="840" spans="1:34" x14ac:dyDescent="0.2">
      <c r="A840" s="347">
        <f t="shared" ca="1" si="383"/>
        <v>1E-4</v>
      </c>
      <c r="B840" s="304">
        <f t="shared" ca="1" si="384"/>
        <v>41.630600000001309</v>
      </c>
      <c r="D840" s="306">
        <f t="shared" ca="1" si="385"/>
        <v>-0.52474695504051638</v>
      </c>
      <c r="E840" s="307">
        <f t="shared" ca="1" si="386"/>
        <v>-1.6396312148712724</v>
      </c>
      <c r="F840" s="304">
        <f t="shared" ca="1" si="387"/>
        <v>1.7215544974250854</v>
      </c>
      <c r="G840" s="306">
        <f t="shared" ca="1" si="388"/>
        <v>8.7580130109505365</v>
      </c>
      <c r="H840" s="307">
        <f t="shared" ca="1" si="389"/>
        <v>-136.36422320098936</v>
      </c>
      <c r="I840" s="304">
        <f t="shared" ca="1" si="390"/>
        <v>136.64517613552709</v>
      </c>
      <c r="J840" s="306">
        <f t="shared" ca="1" si="391"/>
        <v>712.18513894933824</v>
      </c>
      <c r="K840" s="307">
        <f t="shared" ca="1" si="392"/>
        <v>-10.867513914971674</v>
      </c>
      <c r="L840" s="304">
        <f t="shared" ca="1" si="377"/>
        <v>712.26804996362171</v>
      </c>
      <c r="M840" s="306">
        <f t="shared" ca="1" si="393"/>
        <v>-1.5066592633341744</v>
      </c>
      <c r="N840" s="304">
        <f t="shared" ca="1" si="394"/>
        <v>-86.3252169533379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4.0843000000000034</v>
      </c>
      <c r="T840" s="304">
        <f t="shared" ca="1" si="378"/>
        <v>40.066983000000036</v>
      </c>
      <c r="U840" s="311">
        <f t="shared" ca="1" si="379"/>
        <v>0</v>
      </c>
      <c r="V840" s="306">
        <f t="shared" ca="1" si="380"/>
        <v>1.2263319942278743</v>
      </c>
      <c r="W840" s="304">
        <f t="shared" ca="1" si="381"/>
        <v>33.439115375476369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1.6026270590152265</v>
      </c>
      <c r="AH840" s="304">
        <f t="shared" ca="1" si="405"/>
        <v>-8.1872025412731908</v>
      </c>
    </row>
    <row r="841" spans="1:34" x14ac:dyDescent="0.2">
      <c r="A841" s="347">
        <f t="shared" ca="1" si="383"/>
        <v>1E-4</v>
      </c>
      <c r="B841" s="304">
        <f t="shared" ca="1" si="384"/>
        <v>41.630700000001312</v>
      </c>
      <c r="D841" s="306">
        <f t="shared" ca="1" si="385"/>
        <v>-0.52474514197881172</v>
      </c>
      <c r="E841" s="307">
        <f t="shared" ca="1" si="386"/>
        <v>-1.6396006668449381</v>
      </c>
      <c r="F841" s="304">
        <f t="shared" ca="1" si="387"/>
        <v>1.721524850459246</v>
      </c>
      <c r="G841" s="306">
        <f t="shared" ca="1" si="388"/>
        <v>8.7579605364363378</v>
      </c>
      <c r="H841" s="307">
        <f t="shared" ca="1" si="389"/>
        <v>-136.36438716105604</v>
      </c>
      <c r="I841" s="304">
        <f t="shared" ca="1" si="390"/>
        <v>136.6453363952395</v>
      </c>
      <c r="J841" s="306">
        <f t="shared" ca="1" si="391"/>
        <v>712.18513894933824</v>
      </c>
      <c r="K841" s="307">
        <f t="shared" ca="1" si="392"/>
        <v>-10.881150345489777</v>
      </c>
      <c r="L841" s="304">
        <f t="shared" ca="1" si="377"/>
        <v>712.2682581535762</v>
      </c>
      <c r="M841" s="306">
        <f t="shared" ca="1" si="393"/>
        <v>-1.5066597234693921</v>
      </c>
      <c r="N841" s="304">
        <f t="shared" ca="1" si="394"/>
        <v>-86.325243317143872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4.0843000000000034</v>
      </c>
      <c r="T841" s="304">
        <f t="shared" ca="1" si="378"/>
        <v>40.066983000000036</v>
      </c>
      <c r="U841" s="311">
        <f t="shared" ca="1" si="379"/>
        <v>0</v>
      </c>
      <c r="V841" s="306">
        <f t="shared" ca="1" si="380"/>
        <v>1.226333666508612</v>
      </c>
      <c r="W841" s="304">
        <f t="shared" ca="1" si="381"/>
        <v>33.439239410581393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1.6025969793185784</v>
      </c>
      <c r="AH841" s="304">
        <f t="shared" ca="1" si="405"/>
        <v>-8.1872329102848322</v>
      </c>
    </row>
    <row r="842" spans="1:34" x14ac:dyDescent="0.2">
      <c r="A842" s="347">
        <f t="shared" ca="1" si="383"/>
        <v>1E-4</v>
      </c>
      <c r="B842" s="304">
        <f t="shared" ca="1" si="384"/>
        <v>41.630800000001315</v>
      </c>
      <c r="D842" s="306">
        <f t="shared" ca="1" si="385"/>
        <v>-0.52474332890398645</v>
      </c>
      <c r="E842" s="307">
        <f t="shared" ca="1" si="386"/>
        <v>-1.6395701190769199</v>
      </c>
      <c r="F842" s="304">
        <f t="shared" ca="1" si="387"/>
        <v>1.7214952037688465</v>
      </c>
      <c r="G842" s="306">
        <f t="shared" ca="1" si="388"/>
        <v>8.7579080621034482</v>
      </c>
      <c r="H842" s="307">
        <f t="shared" ca="1" si="389"/>
        <v>-136.36455111806796</v>
      </c>
      <c r="I842" s="304">
        <f t="shared" ca="1" si="390"/>
        <v>136.64549665194394</v>
      </c>
      <c r="J842" s="306">
        <f t="shared" ca="1" si="391"/>
        <v>712.18513894933824</v>
      </c>
      <c r="K842" s="307">
        <f t="shared" ca="1" si="392"/>
        <v>-10.894786792403734</v>
      </c>
      <c r="L842" s="304">
        <f t="shared" ca="1" si="377"/>
        <v>712.26846660479089</v>
      </c>
      <c r="M842" s="306">
        <f t="shared" ca="1" si="393"/>
        <v>-1.5066601836007736</v>
      </c>
      <c r="N842" s="304">
        <f t="shared" ca="1" si="394"/>
        <v>-86.325269680730059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4.0843000000000034</v>
      </c>
      <c r="T842" s="304">
        <f t="shared" ca="1" si="378"/>
        <v>40.066983000000036</v>
      </c>
      <c r="U842" s="311">
        <f t="shared" ca="1" si="379"/>
        <v>0</v>
      </c>
      <c r="V842" s="306">
        <f t="shared" ca="1" si="380"/>
        <v>1.226335338793642</v>
      </c>
      <c r="W842" s="304">
        <f t="shared" ca="1" si="381"/>
        <v>33.439363444637181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1.6025668998743363</v>
      </c>
      <c r="AH842" s="304">
        <f t="shared" ca="1" si="405"/>
        <v>-8.1872632790395823</v>
      </c>
    </row>
    <row r="843" spans="1:34" x14ac:dyDescent="0.2">
      <c r="A843" s="347">
        <f t="shared" ca="1" si="383"/>
        <v>1E-4</v>
      </c>
      <c r="B843" s="304">
        <f t="shared" ca="1" si="384"/>
        <v>41.630900000001319</v>
      </c>
      <c r="D843" s="306">
        <f t="shared" ca="1" si="385"/>
        <v>-0.52474151581603912</v>
      </c>
      <c r="E843" s="307">
        <f t="shared" ca="1" si="386"/>
        <v>-1.6395395715672212</v>
      </c>
      <c r="F843" s="304">
        <f t="shared" ca="1" si="387"/>
        <v>1.7214655573538908</v>
      </c>
      <c r="G843" s="306">
        <f t="shared" ca="1" si="388"/>
        <v>8.757855587951866</v>
      </c>
      <c r="H843" s="307">
        <f t="shared" ca="1" si="389"/>
        <v>-136.36471507202512</v>
      </c>
      <c r="I843" s="304">
        <f t="shared" ca="1" si="390"/>
        <v>136.64565690564049</v>
      </c>
      <c r="J843" s="306">
        <f t="shared" ca="1" si="391"/>
        <v>712.18513894933824</v>
      </c>
      <c r="K843" s="307">
        <f t="shared" ca="1" si="392"/>
        <v>-10.908423255713238</v>
      </c>
      <c r="L843" s="304">
        <f t="shared" ca="1" si="377"/>
        <v>712.2686753172668</v>
      </c>
      <c r="M843" s="306">
        <f t="shared" ca="1" si="393"/>
        <v>-1.506660643728319</v>
      </c>
      <c r="N843" s="304">
        <f t="shared" ca="1" si="394"/>
        <v>-86.325296044096447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4.0843000000000034</v>
      </c>
      <c r="T843" s="304">
        <f t="shared" ca="1" si="378"/>
        <v>40.066983000000036</v>
      </c>
      <c r="U843" s="311">
        <f t="shared" ca="1" si="379"/>
        <v>0</v>
      </c>
      <c r="V843" s="306">
        <f t="shared" ca="1" si="380"/>
        <v>1.2263370110829646</v>
      </c>
      <c r="W843" s="304">
        <f t="shared" ca="1" si="381"/>
        <v>33.439487477643752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1.6025368206825039</v>
      </c>
      <c r="AH843" s="304">
        <f t="shared" ca="1" si="405"/>
        <v>-8.1872936475374374</v>
      </c>
    </row>
    <row r="844" spans="1:34" x14ac:dyDescent="0.2">
      <c r="A844" s="347">
        <f t="shared" ca="1" si="383"/>
        <v>1E-4</v>
      </c>
      <c r="B844" s="304">
        <f t="shared" ca="1" si="384"/>
        <v>41.631000000001322</v>
      </c>
      <c r="D844" s="306">
        <f t="shared" ca="1" si="385"/>
        <v>-0.52473970271496895</v>
      </c>
      <c r="E844" s="307">
        <f t="shared" ca="1" si="386"/>
        <v>-1.639509024315835</v>
      </c>
      <c r="F844" s="304">
        <f t="shared" ca="1" si="387"/>
        <v>1.721435911214372</v>
      </c>
      <c r="G844" s="306">
        <f t="shared" ca="1" si="388"/>
        <v>8.7578031139815948</v>
      </c>
      <c r="H844" s="307">
        <f t="shared" ca="1" si="389"/>
        <v>-136.36487902292754</v>
      </c>
      <c r="I844" s="304">
        <f t="shared" ca="1" si="390"/>
        <v>136.64581715632912</v>
      </c>
      <c r="J844" s="306">
        <f t="shared" ca="1" si="391"/>
        <v>712.18513894933824</v>
      </c>
      <c r="K844" s="307">
        <f t="shared" ca="1" si="392"/>
        <v>-10.922059735417985</v>
      </c>
      <c r="L844" s="304">
        <f t="shared" ca="1" si="377"/>
        <v>712.2688842910045</v>
      </c>
      <c r="M844" s="306">
        <f t="shared" ca="1" si="393"/>
        <v>-1.5066611038520281</v>
      </c>
      <c r="N844" s="304">
        <f t="shared" ca="1" si="394"/>
        <v>-86.325322407243036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4.0843000000000034</v>
      </c>
      <c r="T844" s="304">
        <f t="shared" ca="1" si="378"/>
        <v>40.066983000000036</v>
      </c>
      <c r="U844" s="311">
        <f t="shared" ca="1" si="379"/>
        <v>0</v>
      </c>
      <c r="V844" s="306">
        <f t="shared" ca="1" si="380"/>
        <v>1.226338683376579</v>
      </c>
      <c r="W844" s="304">
        <f t="shared" ca="1" si="381"/>
        <v>33.439611509601065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 t="e">
        <f t="shared" ca="1" si="402"/>
        <v>#N/A</v>
      </c>
      <c r="AD844" s="323" t="e">
        <f t="shared" ca="1" si="403"/>
        <v>#N/A</v>
      </c>
      <c r="AE844" s="324" t="e">
        <f t="shared" ca="1" si="382"/>
        <v>#N/A</v>
      </c>
      <c r="AG844" s="306">
        <f t="shared" ca="1" si="404"/>
        <v>1.6025067417430776</v>
      </c>
      <c r="AH844" s="304">
        <f t="shared" ca="1" si="405"/>
        <v>-8.1873240157784011</v>
      </c>
    </row>
    <row r="845" spans="1:34" x14ac:dyDescent="0.2">
      <c r="A845" s="347">
        <f t="shared" ca="1" si="383"/>
        <v>1E-4</v>
      </c>
      <c r="B845" s="304">
        <f t="shared" ca="1" si="384"/>
        <v>41.631100000001325</v>
      </c>
      <c r="D845" s="306">
        <f t="shared" ca="1" si="385"/>
        <v>-0.52473788960077772</v>
      </c>
      <c r="E845" s="307">
        <f t="shared" ca="1" si="386"/>
        <v>-1.6394784773227755</v>
      </c>
      <c r="F845" s="304">
        <f t="shared" ca="1" si="387"/>
        <v>1.7214062653503051</v>
      </c>
      <c r="G845" s="306">
        <f t="shared" ca="1" si="388"/>
        <v>8.7577506401926346</v>
      </c>
      <c r="H845" s="307">
        <f t="shared" ca="1" si="389"/>
        <v>-136.36504297077528</v>
      </c>
      <c r="I845" s="304">
        <f t="shared" ca="1" si="390"/>
        <v>136.6459774040099</v>
      </c>
      <c r="J845" s="306">
        <f t="shared" ca="1" si="391"/>
        <v>712.18513894933824</v>
      </c>
      <c r="K845" s="307">
        <f t="shared" ca="1" si="392"/>
        <v>-10.935696231517671</v>
      </c>
      <c r="L845" s="304">
        <f t="shared" ca="1" si="377"/>
        <v>712.26909352600455</v>
      </c>
      <c r="M845" s="306">
        <f t="shared" ca="1" si="393"/>
        <v>-1.5066615639719014</v>
      </c>
      <c r="N845" s="304">
        <f t="shared" ca="1" si="394"/>
        <v>-86.325348770169839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4.0843000000000034</v>
      </c>
      <c r="T845" s="304">
        <f t="shared" ca="1" si="378"/>
        <v>40.066983000000036</v>
      </c>
      <c r="U845" s="311">
        <f t="shared" ca="1" si="379"/>
        <v>0</v>
      </c>
      <c r="V845" s="306">
        <f t="shared" ca="1" si="380"/>
        <v>1.2263403556744861</v>
      </c>
      <c r="W845" s="304">
        <f t="shared" ca="1" si="381"/>
        <v>33.439735540509155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1.6024766630560698</v>
      </c>
      <c r="AH845" s="304">
        <f t="shared" ca="1" si="405"/>
        <v>-8.1873543837624645</v>
      </c>
    </row>
    <row r="846" spans="1:34" x14ac:dyDescent="0.2">
      <c r="A846" s="347">
        <f t="shared" ca="1" si="383"/>
        <v>1E-4</v>
      </c>
      <c r="B846" s="304">
        <f t="shared" ca="1" si="384"/>
        <v>41.631200000001328</v>
      </c>
      <c r="D846" s="306">
        <f t="shared" ca="1" si="385"/>
        <v>-0.52473607647346343</v>
      </c>
      <c r="E846" s="307">
        <f t="shared" ca="1" si="386"/>
        <v>-1.6394479305880267</v>
      </c>
      <c r="F846" s="304">
        <f t="shared" ca="1" si="387"/>
        <v>1.7213766197616742</v>
      </c>
      <c r="G846" s="306">
        <f t="shared" ca="1" si="388"/>
        <v>8.7576981665849871</v>
      </c>
      <c r="H846" s="307">
        <f t="shared" ca="1" si="389"/>
        <v>-136.36520691556834</v>
      </c>
      <c r="I846" s="304">
        <f t="shared" ca="1" si="390"/>
        <v>136.64613764868281</v>
      </c>
      <c r="J846" s="306">
        <f t="shared" ca="1" si="391"/>
        <v>712.18513894933824</v>
      </c>
      <c r="K846" s="307">
        <f t="shared" ca="1" si="392"/>
        <v>-10.949332744011988</v>
      </c>
      <c r="L846" s="304">
        <f t="shared" ca="1" si="377"/>
        <v>712.26930302226788</v>
      </c>
      <c r="M846" s="306">
        <f t="shared" ca="1" si="393"/>
        <v>-1.5066620240879385</v>
      </c>
      <c r="N846" s="304">
        <f t="shared" ca="1" si="394"/>
        <v>-86.325375132876857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4.0843000000000034</v>
      </c>
      <c r="T846" s="304">
        <f t="shared" ca="1" si="378"/>
        <v>40.066983000000036</v>
      </c>
      <c r="U846" s="311">
        <f t="shared" ca="1" si="379"/>
        <v>0</v>
      </c>
      <c r="V846" s="306">
        <f t="shared" ca="1" si="380"/>
        <v>1.2263420279766848</v>
      </c>
      <c r="W846" s="304">
        <f t="shared" ca="1" si="381"/>
        <v>33.439859570368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1.6024465846214628</v>
      </c>
      <c r="AH846" s="304">
        <f t="shared" ca="1" si="405"/>
        <v>-8.1873847514896383</v>
      </c>
    </row>
    <row r="847" spans="1:34" x14ac:dyDescent="0.2">
      <c r="A847" s="347">
        <f t="shared" ca="1" si="383"/>
        <v>1E-4</v>
      </c>
      <c r="B847" s="304">
        <f t="shared" ca="1" si="384"/>
        <v>41.631300000001332</v>
      </c>
      <c r="D847" s="306">
        <f t="shared" ca="1" si="385"/>
        <v>-0.52473426333302953</v>
      </c>
      <c r="E847" s="307">
        <f t="shared" ca="1" si="386"/>
        <v>-1.6394173841116011</v>
      </c>
      <c r="F847" s="304">
        <f t="shared" ca="1" si="387"/>
        <v>1.7213469744484933</v>
      </c>
      <c r="G847" s="306">
        <f t="shared" ca="1" si="388"/>
        <v>8.7576456931586542</v>
      </c>
      <c r="H847" s="307">
        <f t="shared" ca="1" si="389"/>
        <v>-136.36537085730674</v>
      </c>
      <c r="I847" s="304">
        <f t="shared" ca="1" si="390"/>
        <v>136.64629789034794</v>
      </c>
      <c r="J847" s="306">
        <f t="shared" ca="1" si="391"/>
        <v>712.18513894933824</v>
      </c>
      <c r="K847" s="307">
        <f t="shared" ca="1" si="392"/>
        <v>-10.962969272900631</v>
      </c>
      <c r="L847" s="304">
        <f t="shared" ca="1" si="377"/>
        <v>712.26951277979515</v>
      </c>
      <c r="M847" s="306">
        <f t="shared" ca="1" si="393"/>
        <v>-1.5066624842001395</v>
      </c>
      <c r="N847" s="304">
        <f t="shared" ca="1" si="394"/>
        <v>-86.325401495364076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4.0843000000000034</v>
      </c>
      <c r="T847" s="304">
        <f t="shared" ca="1" si="378"/>
        <v>40.066983000000036</v>
      </c>
      <c r="U847" s="311">
        <f t="shared" ca="1" si="379"/>
        <v>0</v>
      </c>
      <c r="V847" s="306">
        <f t="shared" ca="1" si="380"/>
        <v>1.2263437002831761</v>
      </c>
      <c r="W847" s="304">
        <f t="shared" ca="1" si="381"/>
        <v>33.439983599177658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1.6024165064392726</v>
      </c>
      <c r="AH847" s="304">
        <f t="shared" ca="1" si="405"/>
        <v>-8.1874151189599136</v>
      </c>
    </row>
    <row r="848" spans="1:34" x14ac:dyDescent="0.2">
      <c r="A848" s="347">
        <f t="shared" ca="1" si="383"/>
        <v>1E-4</v>
      </c>
      <c r="B848" s="304">
        <f t="shared" ca="1" si="384"/>
        <v>41.631400000001335</v>
      </c>
      <c r="D848" s="306">
        <f t="shared" ca="1" si="385"/>
        <v>-0.52473245017947623</v>
      </c>
      <c r="E848" s="307">
        <f t="shared" ca="1" si="386"/>
        <v>-1.6393868378934826</v>
      </c>
      <c r="F848" s="304">
        <f t="shared" ca="1" si="387"/>
        <v>1.7213173294107478</v>
      </c>
      <c r="G848" s="306">
        <f t="shared" ca="1" si="388"/>
        <v>8.7575932199136357</v>
      </c>
      <c r="H848" s="307">
        <f t="shared" ca="1" si="389"/>
        <v>-136.36553479599053</v>
      </c>
      <c r="I848" s="304">
        <f t="shared" ca="1" si="390"/>
        <v>136.64645812900525</v>
      </c>
      <c r="J848" s="306">
        <f t="shared" ca="1" si="391"/>
        <v>712.18513894933824</v>
      </c>
      <c r="K848" s="307">
        <f t="shared" ca="1" si="392"/>
        <v>-10.976605818183296</v>
      </c>
      <c r="L848" s="304">
        <f t="shared" ca="1" si="377"/>
        <v>712.26972279858705</v>
      </c>
      <c r="M848" s="306">
        <f t="shared" ca="1" si="393"/>
        <v>-1.5066629443085044</v>
      </c>
      <c r="N848" s="304">
        <f t="shared" ca="1" si="394"/>
        <v>-86.325427857631496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4.0843000000000034</v>
      </c>
      <c r="T848" s="304">
        <f t="shared" ca="1" si="378"/>
        <v>40.066983000000036</v>
      </c>
      <c r="U848" s="311">
        <f t="shared" ca="1" si="379"/>
        <v>0</v>
      </c>
      <c r="V848" s="306">
        <f t="shared" ca="1" si="380"/>
        <v>1.2263453725939599</v>
      </c>
      <c r="W848" s="304">
        <f t="shared" ca="1" si="381"/>
        <v>33.440107626938079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1.6023864285094813</v>
      </c>
      <c r="AH848" s="304">
        <f t="shared" ca="1" si="405"/>
        <v>-8.1874454861733046</v>
      </c>
    </row>
    <row r="849" spans="1:34" x14ac:dyDescent="0.2">
      <c r="A849" s="347">
        <f t="shared" ca="1" si="383"/>
        <v>1E-4</v>
      </c>
      <c r="B849" s="304">
        <f t="shared" ca="1" si="384"/>
        <v>41.631500000001338</v>
      </c>
      <c r="D849" s="306">
        <f t="shared" ca="1" si="385"/>
        <v>-0.52473063701280331</v>
      </c>
      <c r="E849" s="307">
        <f t="shared" ca="1" si="386"/>
        <v>-1.6393562919336819</v>
      </c>
      <c r="F849" s="304">
        <f t="shared" ca="1" si="387"/>
        <v>1.7212876846484477</v>
      </c>
      <c r="G849" s="306">
        <f t="shared" ca="1" si="388"/>
        <v>8.7575407468499336</v>
      </c>
      <c r="H849" s="307">
        <f t="shared" ca="1" si="389"/>
        <v>-136.36569873161972</v>
      </c>
      <c r="I849" s="304">
        <f t="shared" ca="1" si="390"/>
        <v>136.64661836465478</v>
      </c>
      <c r="J849" s="306">
        <f t="shared" ca="1" si="391"/>
        <v>712.18513894933824</v>
      </c>
      <c r="K849" s="307">
        <f t="shared" ca="1" si="392"/>
        <v>-10.990242379859676</v>
      </c>
      <c r="L849" s="304">
        <f t="shared" ca="1" si="377"/>
        <v>712.26993307864416</v>
      </c>
      <c r="M849" s="306">
        <f t="shared" ca="1" si="393"/>
        <v>-1.5066634044130338</v>
      </c>
      <c r="N849" s="304">
        <f t="shared" ca="1" si="394"/>
        <v>-86.325454219679173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4.0843000000000034</v>
      </c>
      <c r="T849" s="304">
        <f t="shared" ca="1" si="378"/>
        <v>40.066983000000036</v>
      </c>
      <c r="U849" s="311">
        <f t="shared" ca="1" si="379"/>
        <v>0</v>
      </c>
      <c r="V849" s="306">
        <f t="shared" ca="1" si="380"/>
        <v>1.2263470449090352</v>
      </c>
      <c r="W849" s="304">
        <f t="shared" ca="1" si="381"/>
        <v>33.440231653649256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1.6023563508321015</v>
      </c>
      <c r="AH849" s="304">
        <f t="shared" ca="1" si="405"/>
        <v>-8.1874758531298024</v>
      </c>
    </row>
    <row r="850" spans="1:34" x14ac:dyDescent="0.2">
      <c r="A850" s="347">
        <f t="shared" ca="1" si="383"/>
        <v>1E-4</v>
      </c>
      <c r="B850" s="304">
        <f t="shared" ca="1" si="384"/>
        <v>41.631600000001342</v>
      </c>
      <c r="D850" s="306">
        <f t="shared" ca="1" si="385"/>
        <v>-0.52472882383300767</v>
      </c>
      <c r="E850" s="307">
        <f t="shared" ca="1" si="386"/>
        <v>-1.6393257462322026</v>
      </c>
      <c r="F850" s="304">
        <f t="shared" ca="1" si="387"/>
        <v>1.7212580401615962</v>
      </c>
      <c r="G850" s="306">
        <f t="shared" ca="1" si="388"/>
        <v>8.7574882739675495</v>
      </c>
      <c r="H850" s="307">
        <f t="shared" ca="1" si="389"/>
        <v>-136.36586266419434</v>
      </c>
      <c r="I850" s="304">
        <f t="shared" ca="1" si="390"/>
        <v>136.64677859729659</v>
      </c>
      <c r="J850" s="306">
        <f t="shared" ca="1" si="391"/>
        <v>712.18513894933824</v>
      </c>
      <c r="K850" s="307">
        <f t="shared" ca="1" si="392"/>
        <v>-11.003878957929468</v>
      </c>
      <c r="L850" s="304">
        <f t="shared" ca="1" si="377"/>
        <v>712.27014361996737</v>
      </c>
      <c r="M850" s="306">
        <f t="shared" ca="1" si="393"/>
        <v>-1.5066638645137271</v>
      </c>
      <c r="N850" s="304">
        <f t="shared" ca="1" si="394"/>
        <v>-86.325480581507051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4.0843000000000034</v>
      </c>
      <c r="T850" s="304">
        <f t="shared" ca="1" si="378"/>
        <v>40.066983000000036</v>
      </c>
      <c r="U850" s="311">
        <f t="shared" ca="1" si="379"/>
        <v>0</v>
      </c>
      <c r="V850" s="306">
        <f t="shared" ca="1" si="380"/>
        <v>1.2263487172284031</v>
      </c>
      <c r="W850" s="304">
        <f t="shared" ca="1" si="381"/>
        <v>33.440355679311224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1.6023262734071331</v>
      </c>
      <c r="AH850" s="304">
        <f t="shared" ca="1" si="405"/>
        <v>-8.1875062198294017</v>
      </c>
    </row>
    <row r="851" spans="1:34" x14ac:dyDescent="0.2">
      <c r="A851" s="347">
        <f t="shared" ca="1" si="383"/>
        <v>1E-4</v>
      </c>
      <c r="B851" s="304">
        <f t="shared" ca="1" si="384"/>
        <v>41.631700000001345</v>
      </c>
      <c r="D851" s="306">
        <f t="shared" ca="1" si="385"/>
        <v>-0.52472701064009442</v>
      </c>
      <c r="E851" s="307">
        <f t="shared" ca="1" si="386"/>
        <v>-1.6392952007890322</v>
      </c>
      <c r="F851" s="304">
        <f t="shared" ca="1" si="387"/>
        <v>1.721228395950184</v>
      </c>
      <c r="G851" s="306">
        <f t="shared" ca="1" si="388"/>
        <v>8.7574358012664852</v>
      </c>
      <c r="H851" s="307">
        <f t="shared" ca="1" si="389"/>
        <v>-136.36602659371442</v>
      </c>
      <c r="I851" s="304">
        <f t="shared" ca="1" si="390"/>
        <v>136.64693882693066</v>
      </c>
      <c r="J851" s="306">
        <f t="shared" ca="1" si="391"/>
        <v>712.18513894933824</v>
      </c>
      <c r="K851" s="307">
        <f t="shared" ca="1" si="392"/>
        <v>-11.017515552392362</v>
      </c>
      <c r="L851" s="304">
        <f t="shared" ca="1" si="377"/>
        <v>712.27035442255738</v>
      </c>
      <c r="M851" s="306">
        <f t="shared" ca="1" si="393"/>
        <v>-1.5066643246105846</v>
      </c>
      <c r="N851" s="304">
        <f t="shared" ca="1" si="394"/>
        <v>-86.325506943115144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4.0843000000000034</v>
      </c>
      <c r="T851" s="304">
        <f t="shared" ca="1" si="378"/>
        <v>40.066983000000036</v>
      </c>
      <c r="U851" s="311">
        <f t="shared" ca="1" si="379"/>
        <v>0</v>
      </c>
      <c r="V851" s="306">
        <f t="shared" ca="1" si="380"/>
        <v>1.2263503895520631</v>
      </c>
      <c r="W851" s="304">
        <f t="shared" ca="1" si="381"/>
        <v>33.440479703923977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1.6022961962345672</v>
      </c>
      <c r="AH851" s="304">
        <f t="shared" ca="1" si="405"/>
        <v>-8.187536586272115</v>
      </c>
    </row>
    <row r="852" spans="1:34" x14ac:dyDescent="0.2">
      <c r="A852" s="347">
        <f t="shared" ca="1" si="383"/>
        <v>1E-4</v>
      </c>
      <c r="B852" s="304">
        <f t="shared" ca="1" si="384"/>
        <v>41.631800000001348</v>
      </c>
      <c r="D852" s="306">
        <f t="shared" ca="1" si="385"/>
        <v>-0.5247251974340621</v>
      </c>
      <c r="E852" s="307">
        <f t="shared" ca="1" si="386"/>
        <v>-1.6392646556041779</v>
      </c>
      <c r="F852" s="304">
        <f t="shared" ca="1" si="387"/>
        <v>1.7211987520142173</v>
      </c>
      <c r="G852" s="306">
        <f t="shared" ca="1" si="388"/>
        <v>8.7573833287467426</v>
      </c>
      <c r="H852" s="307">
        <f t="shared" ca="1" si="389"/>
        <v>-136.36619052017997</v>
      </c>
      <c r="I852" s="304">
        <f t="shared" ca="1" si="390"/>
        <v>136.64709905355704</v>
      </c>
      <c r="J852" s="306">
        <f t="shared" ca="1" si="391"/>
        <v>712.18513894933824</v>
      </c>
      <c r="K852" s="307">
        <f t="shared" ca="1" si="392"/>
        <v>-11.031152163248057</v>
      </c>
      <c r="L852" s="304">
        <f t="shared" ca="1" si="377"/>
        <v>712.27056548641474</v>
      </c>
      <c r="M852" s="306">
        <f t="shared" ca="1" si="393"/>
        <v>-1.5066647847036063</v>
      </c>
      <c r="N852" s="304">
        <f t="shared" ca="1" si="394"/>
        <v>-86.32553330450348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4.0843000000000034</v>
      </c>
      <c r="T852" s="304">
        <f t="shared" ca="1" si="378"/>
        <v>40.066983000000036</v>
      </c>
      <c r="U852" s="311">
        <f t="shared" ca="1" si="379"/>
        <v>0</v>
      </c>
      <c r="V852" s="306">
        <f t="shared" ca="1" si="380"/>
        <v>1.2263520618800146</v>
      </c>
      <c r="W852" s="304">
        <f t="shared" ca="1" si="381"/>
        <v>33.440603727487485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1.6022661193144092</v>
      </c>
      <c r="AH852" s="304">
        <f t="shared" ca="1" si="405"/>
        <v>-8.1875669524579369</v>
      </c>
    </row>
    <row r="853" spans="1:34" x14ac:dyDescent="0.2">
      <c r="A853" s="347">
        <f t="shared" ca="1" si="383"/>
        <v>1E-4</v>
      </c>
      <c r="B853" s="304">
        <f t="shared" ca="1" si="384"/>
        <v>41.631900000001352</v>
      </c>
      <c r="D853" s="306">
        <f t="shared" ca="1" si="385"/>
        <v>-0.52472338421491105</v>
      </c>
      <c r="E853" s="307">
        <f t="shared" ca="1" si="386"/>
        <v>-1.6392341106776431</v>
      </c>
      <c r="F853" s="304">
        <f t="shared" ca="1" si="387"/>
        <v>1.7211691083537006</v>
      </c>
      <c r="G853" s="306">
        <f t="shared" ca="1" si="388"/>
        <v>8.7573308564083217</v>
      </c>
      <c r="H853" s="307">
        <f t="shared" ca="1" si="389"/>
        <v>-136.36635444359104</v>
      </c>
      <c r="I853" s="304">
        <f t="shared" ca="1" si="390"/>
        <v>136.64725927717578</v>
      </c>
      <c r="J853" s="306">
        <f t="shared" ca="1" si="391"/>
        <v>712.18513894933824</v>
      </c>
      <c r="K853" s="307">
        <f t="shared" ca="1" si="392"/>
        <v>-11.044788790496247</v>
      </c>
      <c r="L853" s="304">
        <f t="shared" ca="1" si="377"/>
        <v>712.27077681154014</v>
      </c>
      <c r="M853" s="306">
        <f t="shared" ca="1" si="393"/>
        <v>-1.5066652447927924</v>
      </c>
      <c r="N853" s="304">
        <f t="shared" ca="1" si="394"/>
        <v>-86.325559665672031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4.0843000000000034</v>
      </c>
      <c r="T853" s="304">
        <f t="shared" ca="1" si="378"/>
        <v>40.066983000000036</v>
      </c>
      <c r="U853" s="311">
        <f t="shared" ca="1" si="379"/>
        <v>0</v>
      </c>
      <c r="V853" s="306">
        <f t="shared" ca="1" si="380"/>
        <v>1.2263537342122586</v>
      </c>
      <c r="W853" s="304">
        <f t="shared" ca="1" si="381"/>
        <v>33.440727750001798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1.6022360426466644</v>
      </c>
      <c r="AH853" s="304">
        <f t="shared" ca="1" si="405"/>
        <v>-8.187597318386862</v>
      </c>
    </row>
    <row r="854" spans="1:34" x14ac:dyDescent="0.2">
      <c r="A854" s="347">
        <f t="shared" ca="1" si="383"/>
        <v>1E-4</v>
      </c>
      <c r="B854" s="304">
        <f t="shared" ca="1" si="384"/>
        <v>41.632000000001355</v>
      </c>
      <c r="D854" s="306">
        <f t="shared" ca="1" si="385"/>
        <v>-0.52472157098264083</v>
      </c>
      <c r="E854" s="307">
        <f t="shared" ca="1" si="386"/>
        <v>-1.6392035660094173</v>
      </c>
      <c r="F854" s="304">
        <f t="shared" ca="1" si="387"/>
        <v>1.7211394649686238</v>
      </c>
      <c r="G854" s="306">
        <f t="shared" ca="1" si="388"/>
        <v>8.7572783842512241</v>
      </c>
      <c r="H854" s="307">
        <f t="shared" ca="1" si="389"/>
        <v>-136.36651836394765</v>
      </c>
      <c r="I854" s="304">
        <f t="shared" ca="1" si="390"/>
        <v>136.64741949778687</v>
      </c>
      <c r="J854" s="306">
        <f t="shared" ca="1" si="391"/>
        <v>712.18513894933824</v>
      </c>
      <c r="K854" s="307">
        <f t="shared" ca="1" si="392"/>
        <v>-11.058425434136623</v>
      </c>
      <c r="L854" s="304">
        <f t="shared" ca="1" si="377"/>
        <v>712.2709883979345</v>
      </c>
      <c r="M854" s="306">
        <f t="shared" ca="1" si="393"/>
        <v>-1.5066657048781427</v>
      </c>
      <c r="N854" s="304">
        <f t="shared" ca="1" si="394"/>
        <v>-86.325586026620826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4.0843000000000034</v>
      </c>
      <c r="T854" s="304">
        <f t="shared" ca="1" si="378"/>
        <v>40.066983000000036</v>
      </c>
      <c r="U854" s="311">
        <f t="shared" ca="1" si="379"/>
        <v>0</v>
      </c>
      <c r="V854" s="306">
        <f t="shared" ca="1" si="380"/>
        <v>1.2263554065487947</v>
      </c>
      <c r="W854" s="304">
        <f t="shared" ca="1" si="381"/>
        <v>33.440851771466903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 t="e">
        <f t="shared" ca="1" si="402"/>
        <v>#N/A</v>
      </c>
      <c r="AD854" s="323" t="e">
        <f t="shared" ca="1" si="403"/>
        <v>#N/A</v>
      </c>
      <c r="AE854" s="324" t="e">
        <f t="shared" ca="1" si="382"/>
        <v>#N/A</v>
      </c>
      <c r="AG854" s="306">
        <f t="shared" ca="1" si="404"/>
        <v>1.6022059662313204</v>
      </c>
      <c r="AH854" s="304">
        <f t="shared" ca="1" si="405"/>
        <v>-8.1876276840589011</v>
      </c>
    </row>
    <row r="855" spans="1:34" x14ac:dyDescent="0.2">
      <c r="A855" s="347">
        <f t="shared" ca="1" si="383"/>
        <v>1E-4</v>
      </c>
      <c r="B855" s="304">
        <f t="shared" ca="1" si="384"/>
        <v>41.632100000001358</v>
      </c>
      <c r="D855" s="306">
        <f t="shared" ca="1" si="385"/>
        <v>-0.5247197577372541</v>
      </c>
      <c r="E855" s="307">
        <f t="shared" ca="1" si="386"/>
        <v>-1.6391730215995022</v>
      </c>
      <c r="F855" s="304">
        <f t="shared" ca="1" si="387"/>
        <v>1.72110982185899</v>
      </c>
      <c r="G855" s="306">
        <f t="shared" ca="1" si="388"/>
        <v>8.7572259122754499</v>
      </c>
      <c r="H855" s="307">
        <f t="shared" ca="1" si="389"/>
        <v>-136.36668228124981</v>
      </c>
      <c r="I855" s="304">
        <f t="shared" ca="1" si="390"/>
        <v>136.64757971539035</v>
      </c>
      <c r="J855" s="306">
        <f t="shared" ca="1" si="391"/>
        <v>712.18513894933824</v>
      </c>
      <c r="K855" s="307">
        <f t="shared" ca="1" si="392"/>
        <v>-11.072062094168883</v>
      </c>
      <c r="L855" s="304">
        <f t="shared" ca="1" si="377"/>
        <v>712.27120024559838</v>
      </c>
      <c r="M855" s="306">
        <f t="shared" ca="1" si="393"/>
        <v>-1.5066661649596573</v>
      </c>
      <c r="N855" s="304">
        <f t="shared" ca="1" si="394"/>
        <v>-86.32561238734985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4.0843000000000034</v>
      </c>
      <c r="T855" s="304">
        <f t="shared" ca="1" si="378"/>
        <v>40.066983000000036</v>
      </c>
      <c r="U855" s="311">
        <f t="shared" ca="1" si="379"/>
        <v>0</v>
      </c>
      <c r="V855" s="306">
        <f t="shared" ca="1" si="380"/>
        <v>1.2263570788896223</v>
      </c>
      <c r="W855" s="304">
        <f t="shared" ca="1" si="381"/>
        <v>33.440975791882785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1.6021758900683807</v>
      </c>
      <c r="AH855" s="304">
        <f t="shared" ca="1" si="405"/>
        <v>-8.1876580494740541</v>
      </c>
    </row>
    <row r="856" spans="1:34" x14ac:dyDescent="0.2">
      <c r="A856" s="347">
        <f t="shared" ca="1" si="383"/>
        <v>1E-4</v>
      </c>
      <c r="B856" s="304">
        <f t="shared" ca="1" si="384"/>
        <v>41.632200000001362</v>
      </c>
      <c r="D856" s="306">
        <f t="shared" ca="1" si="385"/>
        <v>-0.52471794447874909</v>
      </c>
      <c r="E856" s="307">
        <f t="shared" ca="1" si="386"/>
        <v>-1.6391424774479031</v>
      </c>
      <c r="F856" s="304">
        <f t="shared" ca="1" si="387"/>
        <v>1.7210801790248045</v>
      </c>
      <c r="G856" s="306">
        <f t="shared" ca="1" si="388"/>
        <v>8.7571734404810027</v>
      </c>
      <c r="H856" s="307">
        <f t="shared" ca="1" si="389"/>
        <v>-136.36684619549754</v>
      </c>
      <c r="I856" s="304">
        <f t="shared" ca="1" si="390"/>
        <v>136.64773992998622</v>
      </c>
      <c r="J856" s="306">
        <f t="shared" ca="1" si="391"/>
        <v>712.18513894933824</v>
      </c>
      <c r="K856" s="307">
        <f t="shared" ca="1" si="392"/>
        <v>-11.085698770592721</v>
      </c>
      <c r="L856" s="304">
        <f t="shared" ca="1" si="377"/>
        <v>712.27141235453257</v>
      </c>
      <c r="M856" s="306">
        <f t="shared" ca="1" si="393"/>
        <v>-1.5066666250373364</v>
      </c>
      <c r="N856" s="304">
        <f t="shared" ca="1" si="394"/>
        <v>-86.325638747859102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4.0843000000000034</v>
      </c>
      <c r="T856" s="304">
        <f t="shared" ca="1" si="378"/>
        <v>40.066983000000036</v>
      </c>
      <c r="U856" s="311">
        <f t="shared" ca="1" si="379"/>
        <v>0</v>
      </c>
      <c r="V856" s="306">
        <f t="shared" ca="1" si="380"/>
        <v>1.2263587512347423</v>
      </c>
      <c r="W856" s="304">
        <f t="shared" ca="1" si="381"/>
        <v>33.441099811249451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1.6021458141578488</v>
      </c>
      <c r="AH856" s="304">
        <f t="shared" ca="1" si="405"/>
        <v>-8.1876884146323139</v>
      </c>
    </row>
    <row r="857" spans="1:34" x14ac:dyDescent="0.2">
      <c r="A857" s="347">
        <f t="shared" ca="1" si="383"/>
        <v>1E-4</v>
      </c>
      <c r="B857" s="304">
        <f t="shared" ca="1" si="384"/>
        <v>41.632300000001365</v>
      </c>
      <c r="D857" s="306">
        <f t="shared" ca="1" si="385"/>
        <v>-0.5247161312071269</v>
      </c>
      <c r="E857" s="307">
        <f t="shared" ca="1" si="386"/>
        <v>-1.6391119335546165</v>
      </c>
      <c r="F857" s="304">
        <f t="shared" ca="1" si="387"/>
        <v>1.7210505364660644</v>
      </c>
      <c r="G857" s="306">
        <f t="shared" ca="1" si="388"/>
        <v>8.7571209688678824</v>
      </c>
      <c r="H857" s="307">
        <f t="shared" ca="1" si="389"/>
        <v>-136.36701010669091</v>
      </c>
      <c r="I857" s="304">
        <f t="shared" ca="1" si="390"/>
        <v>136.64790014157452</v>
      </c>
      <c r="J857" s="306">
        <f t="shared" ca="1" si="391"/>
        <v>712.18513894933824</v>
      </c>
      <c r="K857" s="307">
        <f t="shared" ca="1" si="392"/>
        <v>-11.099335463407831</v>
      </c>
      <c r="L857" s="304">
        <f t="shared" ca="1" si="377"/>
        <v>712.27162472473765</v>
      </c>
      <c r="M857" s="306">
        <f t="shared" ca="1" si="393"/>
        <v>-1.5066670851111801</v>
      </c>
      <c r="N857" s="304">
        <f t="shared" ca="1" si="394"/>
        <v>-86.325665108148613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4.0843000000000034</v>
      </c>
      <c r="T857" s="304">
        <f t="shared" ca="1" si="378"/>
        <v>40.066983000000036</v>
      </c>
      <c r="U857" s="311">
        <f t="shared" ca="1" si="379"/>
        <v>0</v>
      </c>
      <c r="V857" s="306">
        <f t="shared" ca="1" si="380"/>
        <v>1.2263604235841543</v>
      </c>
      <c r="W857" s="304">
        <f t="shared" ca="1" si="381"/>
        <v>33.441223829566916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1.6021157384997231</v>
      </c>
      <c r="AH857" s="304">
        <f t="shared" ca="1" si="405"/>
        <v>-8.1877187795336841</v>
      </c>
    </row>
    <row r="858" spans="1:34" x14ac:dyDescent="0.2">
      <c r="A858" s="347">
        <f t="shared" ca="1" si="383"/>
        <v>1E-4</v>
      </c>
      <c r="B858" s="304">
        <f t="shared" ca="1" si="384"/>
        <v>41.632400000001368</v>
      </c>
      <c r="D858" s="306">
        <f t="shared" ca="1" si="385"/>
        <v>-0.52471431792238643</v>
      </c>
      <c r="E858" s="307">
        <f t="shared" ca="1" si="386"/>
        <v>-1.6390813899196406</v>
      </c>
      <c r="F858" s="304">
        <f t="shared" ca="1" si="387"/>
        <v>1.7210208941827685</v>
      </c>
      <c r="G858" s="306">
        <f t="shared" ca="1" si="388"/>
        <v>8.7570684974360908</v>
      </c>
      <c r="H858" s="307">
        <f t="shared" ca="1" si="389"/>
        <v>-136.36717401482991</v>
      </c>
      <c r="I858" s="304">
        <f t="shared" ca="1" si="390"/>
        <v>136.64806035015533</v>
      </c>
      <c r="J858" s="306">
        <f t="shared" ca="1" si="391"/>
        <v>712.18513894933824</v>
      </c>
      <c r="K858" s="307">
        <f t="shared" ca="1" si="392"/>
        <v>-11.112972172613906</v>
      </c>
      <c r="L858" s="304">
        <f t="shared" ca="1" si="377"/>
        <v>712.27183735621441</v>
      </c>
      <c r="M858" s="306">
        <f t="shared" ca="1" si="393"/>
        <v>-1.5066675451811882</v>
      </c>
      <c r="N858" s="304">
        <f t="shared" ca="1" si="394"/>
        <v>-86.325691468218352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4.0843000000000034</v>
      </c>
      <c r="T858" s="304">
        <f t="shared" ca="1" si="378"/>
        <v>40.066983000000036</v>
      </c>
      <c r="U858" s="311">
        <f t="shared" ca="1" si="379"/>
        <v>0</v>
      </c>
      <c r="V858" s="306">
        <f t="shared" ca="1" si="380"/>
        <v>1.2263620959378581</v>
      </c>
      <c r="W858" s="304">
        <f t="shared" ca="1" si="381"/>
        <v>33.441347846835185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1.6020856630940017</v>
      </c>
      <c r="AH858" s="304">
        <f t="shared" ca="1" si="405"/>
        <v>-8.1877491441781665</v>
      </c>
    </row>
    <row r="859" spans="1:34" x14ac:dyDescent="0.2">
      <c r="A859" s="347">
        <f t="shared" ca="1" si="383"/>
        <v>1E-4</v>
      </c>
      <c r="B859" s="304">
        <f t="shared" ca="1" si="384"/>
        <v>41.632500000001372</v>
      </c>
      <c r="D859" s="306">
        <f t="shared" ca="1" si="385"/>
        <v>-0.52471250462453056</v>
      </c>
      <c r="E859" s="307">
        <f t="shared" ca="1" si="386"/>
        <v>-1.6390508465429736</v>
      </c>
      <c r="F859" s="304">
        <f t="shared" ca="1" si="387"/>
        <v>1.7209912521749164</v>
      </c>
      <c r="G859" s="306">
        <f t="shared" ca="1" si="388"/>
        <v>8.757016026185628</v>
      </c>
      <c r="H859" s="307">
        <f t="shared" ca="1" si="389"/>
        <v>-136.36733791991458</v>
      </c>
      <c r="I859" s="304">
        <f t="shared" ca="1" si="390"/>
        <v>136.64822055572859</v>
      </c>
      <c r="J859" s="306">
        <f t="shared" ca="1" si="391"/>
        <v>712.18513894933824</v>
      </c>
      <c r="K859" s="307">
        <f t="shared" ca="1" si="392"/>
        <v>-11.126608898210643</v>
      </c>
      <c r="L859" s="304">
        <f t="shared" ca="1" si="377"/>
        <v>712.27205024896352</v>
      </c>
      <c r="M859" s="306">
        <f t="shared" ca="1" si="393"/>
        <v>-1.5066680052473609</v>
      </c>
      <c r="N859" s="304">
        <f t="shared" ca="1" si="394"/>
        <v>-86.325717828068349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4.0843000000000034</v>
      </c>
      <c r="T859" s="304">
        <f t="shared" ca="1" si="378"/>
        <v>40.066983000000036</v>
      </c>
      <c r="U859" s="311">
        <f t="shared" ca="1" si="379"/>
        <v>0</v>
      </c>
      <c r="V859" s="306">
        <f t="shared" ca="1" si="380"/>
        <v>1.2263637682958539</v>
      </c>
      <c r="W859" s="304">
        <f t="shared" ca="1" si="381"/>
        <v>33.441471863054232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1.602055587940681</v>
      </c>
      <c r="AH859" s="304">
        <f t="shared" ca="1" si="405"/>
        <v>-8.1877795085657663</v>
      </c>
    </row>
    <row r="860" spans="1:34" x14ac:dyDescent="0.2">
      <c r="A860" s="347">
        <f t="shared" ca="1" si="383"/>
        <v>1E-4</v>
      </c>
      <c r="B860" s="304">
        <f t="shared" ca="1" si="384"/>
        <v>41.632600000001375</v>
      </c>
      <c r="D860" s="306">
        <f t="shared" ca="1" si="385"/>
        <v>-0.52471069131355752</v>
      </c>
      <c r="E860" s="307">
        <f t="shared" ca="1" si="386"/>
        <v>-1.6390203034246209</v>
      </c>
      <c r="F860" s="304">
        <f t="shared" ca="1" si="387"/>
        <v>1.7209616104425129</v>
      </c>
      <c r="G860" s="306">
        <f t="shared" ca="1" si="388"/>
        <v>8.7569635551164975</v>
      </c>
      <c r="H860" s="307">
        <f t="shared" ca="1" si="389"/>
        <v>-136.36750182194493</v>
      </c>
      <c r="I860" s="304">
        <f t="shared" ca="1" si="390"/>
        <v>136.64838075829437</v>
      </c>
      <c r="J860" s="306">
        <f t="shared" ca="1" si="391"/>
        <v>712.18513894933824</v>
      </c>
      <c r="K860" s="307">
        <f t="shared" ca="1" si="392"/>
        <v>-11.140245640197735</v>
      </c>
      <c r="L860" s="304">
        <f t="shared" ca="1" si="377"/>
        <v>712.27226340298569</v>
      </c>
      <c r="M860" s="306">
        <f t="shared" ca="1" si="393"/>
        <v>-1.506668465309698</v>
      </c>
      <c r="N860" s="304">
        <f t="shared" ca="1" si="394"/>
        <v>-86.325744187698575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4.0843000000000034</v>
      </c>
      <c r="T860" s="304">
        <f t="shared" ca="1" si="378"/>
        <v>40.066983000000036</v>
      </c>
      <c r="U860" s="311">
        <f t="shared" ca="1" si="379"/>
        <v>0</v>
      </c>
      <c r="V860" s="306">
        <f t="shared" ca="1" si="380"/>
        <v>1.2263654406581415</v>
      </c>
      <c r="W860" s="304">
        <f t="shared" ca="1" si="381"/>
        <v>33.441595878224092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1.6020255130397683</v>
      </c>
      <c r="AH860" s="304">
        <f t="shared" ca="1" si="405"/>
        <v>-8.187809872696473</v>
      </c>
    </row>
    <row r="861" spans="1:34" x14ac:dyDescent="0.2">
      <c r="A861" s="347">
        <f t="shared" ca="1" si="383"/>
        <v>1E-4</v>
      </c>
      <c r="B861" s="304">
        <f t="shared" ca="1" si="384"/>
        <v>41.632700000001378</v>
      </c>
      <c r="D861" s="306">
        <f t="shared" ca="1" si="385"/>
        <v>-0.52470887798947063</v>
      </c>
      <c r="E861" s="307">
        <f t="shared" ca="1" si="386"/>
        <v>-1.6389897605645753</v>
      </c>
      <c r="F861" s="304">
        <f t="shared" ca="1" si="387"/>
        <v>1.7209319689855533</v>
      </c>
      <c r="G861" s="306">
        <f t="shared" ca="1" si="388"/>
        <v>8.7569110842286992</v>
      </c>
      <c r="H861" s="307">
        <f t="shared" ca="1" si="389"/>
        <v>-136.367665720921</v>
      </c>
      <c r="I861" s="304">
        <f t="shared" ca="1" si="390"/>
        <v>136.64854095785267</v>
      </c>
      <c r="J861" s="306">
        <f t="shared" ca="1" si="391"/>
        <v>712.18513894933824</v>
      </c>
      <c r="K861" s="307">
        <f t="shared" ca="1" si="392"/>
        <v>-11.153882398574879</v>
      </c>
      <c r="L861" s="304">
        <f t="shared" ca="1" si="377"/>
        <v>712.27247681828158</v>
      </c>
      <c r="M861" s="306">
        <f t="shared" ca="1" si="393"/>
        <v>-1.5066689253682</v>
      </c>
      <c r="N861" s="304">
        <f t="shared" ca="1" si="394"/>
        <v>-86.325770547109073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4.0843000000000034</v>
      </c>
      <c r="T861" s="304">
        <f t="shared" ca="1" si="378"/>
        <v>40.066983000000036</v>
      </c>
      <c r="U861" s="311">
        <f t="shared" ca="1" si="379"/>
        <v>0</v>
      </c>
      <c r="V861" s="306">
        <f t="shared" ca="1" si="380"/>
        <v>1.2263671130247207</v>
      </c>
      <c r="W861" s="304">
        <f t="shared" ca="1" si="381"/>
        <v>33.441719892344729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1.6019954383912562</v>
      </c>
      <c r="AH861" s="304">
        <f t="shared" ca="1" si="405"/>
        <v>-8.1878402365702971</v>
      </c>
    </row>
    <row r="862" spans="1:34" x14ac:dyDescent="0.2">
      <c r="A862" s="347">
        <f t="shared" ca="1" si="383"/>
        <v>1E-4</v>
      </c>
      <c r="B862" s="304">
        <f t="shared" ca="1" si="384"/>
        <v>41.632800000001382</v>
      </c>
      <c r="D862" s="306">
        <f t="shared" ca="1" si="385"/>
        <v>-0.52470706465226613</v>
      </c>
      <c r="E862" s="307">
        <f t="shared" ca="1" si="386"/>
        <v>-1.6389592179628441</v>
      </c>
      <c r="F862" s="304">
        <f t="shared" ca="1" si="387"/>
        <v>1.7209023278040434</v>
      </c>
      <c r="G862" s="306">
        <f t="shared" ca="1" si="388"/>
        <v>8.7568586135222333</v>
      </c>
      <c r="H862" s="307">
        <f t="shared" ca="1" si="389"/>
        <v>-136.36782961684278</v>
      </c>
      <c r="I862" s="304">
        <f t="shared" ca="1" si="390"/>
        <v>136.64870115440354</v>
      </c>
      <c r="J862" s="306">
        <f t="shared" ca="1" si="391"/>
        <v>712.18513894933824</v>
      </c>
      <c r="K862" s="307">
        <f t="shared" ca="1" si="392"/>
        <v>-11.167519173341768</v>
      </c>
      <c r="L862" s="304">
        <f t="shared" ca="1" si="377"/>
        <v>712.27269049485199</v>
      </c>
      <c r="M862" s="306">
        <f t="shared" ca="1" si="393"/>
        <v>-1.5066693854228665</v>
      </c>
      <c r="N862" s="304">
        <f t="shared" ca="1" si="394"/>
        <v>-86.325796906299814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4.0843000000000034</v>
      </c>
      <c r="T862" s="304">
        <f t="shared" ca="1" si="378"/>
        <v>40.066983000000036</v>
      </c>
      <c r="U862" s="311">
        <f t="shared" ca="1" si="379"/>
        <v>0</v>
      </c>
      <c r="V862" s="306">
        <f t="shared" ca="1" si="380"/>
        <v>1.226368785395592</v>
      </c>
      <c r="W862" s="304">
        <f t="shared" ca="1" si="381"/>
        <v>33.441843905416171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1.6019653639951503</v>
      </c>
      <c r="AH862" s="304">
        <f t="shared" ca="1" si="405"/>
        <v>-8.1878706001872299</v>
      </c>
    </row>
    <row r="863" spans="1:34" x14ac:dyDescent="0.2">
      <c r="A863" s="347">
        <f t="shared" ca="1" si="383"/>
        <v>1E-4</v>
      </c>
      <c r="B863" s="304">
        <f t="shared" ca="1" si="384"/>
        <v>41.632900000001385</v>
      </c>
      <c r="D863" s="306">
        <f t="shared" ca="1" si="385"/>
        <v>-0.52470525130194701</v>
      </c>
      <c r="E863" s="307">
        <f t="shared" ca="1" si="386"/>
        <v>-1.6389286756194217</v>
      </c>
      <c r="F863" s="304">
        <f t="shared" ca="1" si="387"/>
        <v>1.7208726868979793</v>
      </c>
      <c r="G863" s="306">
        <f t="shared" ca="1" si="388"/>
        <v>8.7568061429971031</v>
      </c>
      <c r="H863" s="307">
        <f t="shared" ca="1" si="389"/>
        <v>-136.36799350971035</v>
      </c>
      <c r="I863" s="304">
        <f t="shared" ca="1" si="390"/>
        <v>136.64886134794696</v>
      </c>
      <c r="J863" s="306">
        <f t="shared" ca="1" si="391"/>
        <v>712.18513894933824</v>
      </c>
      <c r="K863" s="307">
        <f t="shared" ca="1" si="392"/>
        <v>-11.181155964498096</v>
      </c>
      <c r="L863" s="304">
        <f t="shared" ca="1" si="377"/>
        <v>712.27290443269749</v>
      </c>
      <c r="M863" s="306">
        <f t="shared" ca="1" si="393"/>
        <v>-1.506669845473698</v>
      </c>
      <c r="N863" s="304">
        <f t="shared" ca="1" si="394"/>
        <v>-86.325823265270813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4.0843000000000034</v>
      </c>
      <c r="T863" s="304">
        <f t="shared" ca="1" si="378"/>
        <v>40.066983000000036</v>
      </c>
      <c r="U863" s="311">
        <f t="shared" ca="1" si="379"/>
        <v>0</v>
      </c>
      <c r="V863" s="306">
        <f t="shared" ca="1" si="380"/>
        <v>1.226370457770755</v>
      </c>
      <c r="W863" s="304">
        <f t="shared" ca="1" si="381"/>
        <v>33.44196791743839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1.6019352898514487</v>
      </c>
      <c r="AH863" s="304">
        <f t="shared" ca="1" si="405"/>
        <v>-8.1879009635472766</v>
      </c>
    </row>
    <row r="864" spans="1:34" x14ac:dyDescent="0.2">
      <c r="A864" s="347">
        <f t="shared" ca="1" si="383"/>
        <v>1E-4</v>
      </c>
      <c r="B864" s="304">
        <f t="shared" ca="1" si="384"/>
        <v>41.633000000001388</v>
      </c>
      <c r="D864" s="306">
        <f t="shared" ca="1" si="385"/>
        <v>-0.52470343793851193</v>
      </c>
      <c r="E864" s="307">
        <f t="shared" ca="1" si="386"/>
        <v>-1.6388981335343153</v>
      </c>
      <c r="F864" s="304">
        <f t="shared" ca="1" si="387"/>
        <v>1.7208430462673685</v>
      </c>
      <c r="G864" s="306">
        <f t="shared" ca="1" si="388"/>
        <v>8.7567536726533088</v>
      </c>
      <c r="H864" s="307">
        <f t="shared" ca="1" si="389"/>
        <v>-136.36815739952371</v>
      </c>
      <c r="I864" s="304">
        <f t="shared" ca="1" si="390"/>
        <v>136.64902153848303</v>
      </c>
      <c r="J864" s="306">
        <f t="shared" ca="1" si="391"/>
        <v>712.18513894933824</v>
      </c>
      <c r="K864" s="307">
        <f t="shared" ca="1" si="392"/>
        <v>-11.194792772043558</v>
      </c>
      <c r="L864" s="304">
        <f t="shared" ca="1" si="377"/>
        <v>712.27311863181899</v>
      </c>
      <c r="M864" s="306">
        <f t="shared" ca="1" si="393"/>
        <v>-1.506670305520694</v>
      </c>
      <c r="N864" s="304">
        <f t="shared" ca="1" si="394"/>
        <v>-86.325849624022069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4.0843000000000034</v>
      </c>
      <c r="T864" s="304">
        <f t="shared" ca="1" si="378"/>
        <v>40.066983000000036</v>
      </c>
      <c r="U864" s="311">
        <f t="shared" ca="1" si="379"/>
        <v>0</v>
      </c>
      <c r="V864" s="306">
        <f t="shared" ca="1" si="380"/>
        <v>1.2263721301502097</v>
      </c>
      <c r="W864" s="304">
        <f t="shared" ca="1" si="381"/>
        <v>33.442091928411436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 t="e">
        <f t="shared" ca="1" si="402"/>
        <v>#N/A</v>
      </c>
      <c r="AD864" s="323" t="e">
        <f t="shared" ca="1" si="403"/>
        <v>#N/A</v>
      </c>
      <c r="AE864" s="324" t="e">
        <f t="shared" ca="1" si="382"/>
        <v>#N/A</v>
      </c>
      <c r="AG864" s="306">
        <f t="shared" ca="1" si="404"/>
        <v>1.601905215960155</v>
      </c>
      <c r="AH864" s="304">
        <f t="shared" ca="1" si="405"/>
        <v>-8.1879313266504319</v>
      </c>
    </row>
    <row r="865" spans="1:34" x14ac:dyDescent="0.2">
      <c r="A865" s="347">
        <f t="shared" ca="1" si="383"/>
        <v>1E-4</v>
      </c>
      <c r="B865" s="304">
        <f t="shared" ca="1" si="384"/>
        <v>41.633100000001392</v>
      </c>
      <c r="D865" s="306">
        <f t="shared" ca="1" si="385"/>
        <v>-0.52470162456196412</v>
      </c>
      <c r="E865" s="307">
        <f t="shared" ca="1" si="386"/>
        <v>-1.6388675917075108</v>
      </c>
      <c r="F865" s="304">
        <f t="shared" ca="1" si="387"/>
        <v>1.7208134059121984</v>
      </c>
      <c r="G865" s="306">
        <f t="shared" ca="1" si="388"/>
        <v>8.7567012024908522</v>
      </c>
      <c r="H865" s="307">
        <f t="shared" ca="1" si="389"/>
        <v>-136.36832128628288</v>
      </c>
      <c r="I865" s="304">
        <f t="shared" ca="1" si="390"/>
        <v>136.64918172601173</v>
      </c>
      <c r="J865" s="306">
        <f t="shared" ca="1" si="391"/>
        <v>712.18513894933824</v>
      </c>
      <c r="K865" s="307">
        <f t="shared" ca="1" si="392"/>
        <v>-11.208429595977847</v>
      </c>
      <c r="L865" s="304">
        <f t="shared" ca="1" si="377"/>
        <v>712.27333309221694</v>
      </c>
      <c r="M865" s="306">
        <f t="shared" ca="1" si="393"/>
        <v>-1.5066707655638549</v>
      </c>
      <c r="N865" s="304">
        <f t="shared" ca="1" si="394"/>
        <v>-86.325875982553583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4.0843000000000034</v>
      </c>
      <c r="T865" s="304">
        <f t="shared" ca="1" si="378"/>
        <v>40.066983000000036</v>
      </c>
      <c r="U865" s="311">
        <f t="shared" ca="1" si="379"/>
        <v>0</v>
      </c>
      <c r="V865" s="306">
        <f t="shared" ca="1" si="380"/>
        <v>1.2263738025339566</v>
      </c>
      <c r="W865" s="304">
        <f t="shared" ca="1" si="381"/>
        <v>33.442215938335295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1.6018751423212567</v>
      </c>
      <c r="AH865" s="304">
        <f t="shared" ca="1" si="405"/>
        <v>-8.1879616894967082</v>
      </c>
    </row>
    <row r="866" spans="1:34" x14ac:dyDescent="0.2">
      <c r="A866" s="347">
        <f t="shared" ca="1" si="383"/>
        <v>1E-4</v>
      </c>
      <c r="B866" s="304">
        <f t="shared" ca="1" si="384"/>
        <v>41.633200000001395</v>
      </c>
      <c r="D866" s="306">
        <f t="shared" ca="1" si="385"/>
        <v>-0.52469981117230202</v>
      </c>
      <c r="E866" s="307">
        <f t="shared" ca="1" si="386"/>
        <v>-1.6388370501390117</v>
      </c>
      <c r="F866" s="304">
        <f t="shared" ca="1" si="387"/>
        <v>1.7207837658324729</v>
      </c>
      <c r="G866" s="306">
        <f t="shared" ca="1" si="388"/>
        <v>8.7566487325097349</v>
      </c>
      <c r="H866" s="307">
        <f t="shared" ca="1" si="389"/>
        <v>-136.36848516998791</v>
      </c>
      <c r="I866" s="304">
        <f t="shared" ca="1" si="390"/>
        <v>136.64934191053308</v>
      </c>
      <c r="J866" s="306">
        <f t="shared" ca="1" si="391"/>
        <v>712.18513894933824</v>
      </c>
      <c r="K866" s="307">
        <f t="shared" ca="1" si="392"/>
        <v>-11.222066436300661</v>
      </c>
      <c r="L866" s="304">
        <f t="shared" ca="1" si="377"/>
        <v>712.27354781389215</v>
      </c>
      <c r="M866" s="306">
        <f t="shared" ca="1" si="393"/>
        <v>-1.5066712256031809</v>
      </c>
      <c r="N866" s="304">
        <f t="shared" ca="1" si="394"/>
        <v>-86.325902340865369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4.0843000000000034</v>
      </c>
      <c r="T866" s="304">
        <f t="shared" ca="1" si="378"/>
        <v>40.066983000000036</v>
      </c>
      <c r="U866" s="311">
        <f t="shared" ca="1" si="379"/>
        <v>0</v>
      </c>
      <c r="V866" s="306">
        <f t="shared" ca="1" si="380"/>
        <v>1.2263754749219948</v>
      </c>
      <c r="W866" s="304">
        <f t="shared" ca="1" si="381"/>
        <v>33.442339947209938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1.6018450689347592</v>
      </c>
      <c r="AH866" s="304">
        <f t="shared" ca="1" si="405"/>
        <v>-8.187992052086102</v>
      </c>
    </row>
    <row r="867" spans="1:34" x14ac:dyDescent="0.2">
      <c r="A867" s="347">
        <f t="shared" ca="1" si="383"/>
        <v>1E-4</v>
      </c>
      <c r="B867" s="304">
        <f t="shared" ca="1" si="384"/>
        <v>41.633300000001398</v>
      </c>
      <c r="D867" s="306">
        <f t="shared" ca="1" si="385"/>
        <v>-0.52469799776952453</v>
      </c>
      <c r="E867" s="307">
        <f t="shared" ca="1" si="386"/>
        <v>-1.6388065088288268</v>
      </c>
      <c r="F867" s="304">
        <f t="shared" ca="1" si="387"/>
        <v>1.7207541260282004</v>
      </c>
      <c r="G867" s="306">
        <f t="shared" ca="1" si="388"/>
        <v>8.7565962627099587</v>
      </c>
      <c r="H867" s="307">
        <f t="shared" ca="1" si="389"/>
        <v>-136.36864905063879</v>
      </c>
      <c r="I867" s="304">
        <f t="shared" ca="1" si="390"/>
        <v>136.64950209204713</v>
      </c>
      <c r="J867" s="306">
        <f t="shared" ca="1" si="391"/>
        <v>712.18513894933824</v>
      </c>
      <c r="K867" s="307">
        <f t="shared" ca="1" si="392"/>
        <v>-11.235703293011692</v>
      </c>
      <c r="L867" s="304">
        <f t="shared" ca="1" si="377"/>
        <v>712.2737627968454</v>
      </c>
      <c r="M867" s="306">
        <f t="shared" ca="1" si="393"/>
        <v>-1.5066716856386715</v>
      </c>
      <c r="N867" s="304">
        <f t="shared" ca="1" si="394"/>
        <v>-86.325928698957398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4.0843000000000034</v>
      </c>
      <c r="T867" s="304">
        <f t="shared" ca="1" si="378"/>
        <v>40.066983000000036</v>
      </c>
      <c r="U867" s="311">
        <f t="shared" ca="1" si="379"/>
        <v>0</v>
      </c>
      <c r="V867" s="306">
        <f t="shared" ca="1" si="380"/>
        <v>1.2263771473143248</v>
      </c>
      <c r="W867" s="304">
        <f t="shared" ca="1" si="381"/>
        <v>33.4424639550354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1.6018149958006678</v>
      </c>
      <c r="AH867" s="304">
        <f t="shared" ca="1" si="405"/>
        <v>-8.1880224144186062</v>
      </c>
    </row>
    <row r="868" spans="1:34" x14ac:dyDescent="0.2">
      <c r="A868" s="347">
        <f t="shared" ca="1" si="383"/>
        <v>1E-4</v>
      </c>
      <c r="B868" s="304">
        <f t="shared" ca="1" si="384"/>
        <v>41.633400000001402</v>
      </c>
      <c r="D868" s="306">
        <f t="shared" ca="1" si="385"/>
        <v>-0.52469618435363607</v>
      </c>
      <c r="E868" s="307">
        <f t="shared" ca="1" si="386"/>
        <v>-1.6387759677769473</v>
      </c>
      <c r="F868" s="304">
        <f t="shared" ca="1" si="387"/>
        <v>1.7207244864993743</v>
      </c>
      <c r="G868" s="306">
        <f t="shared" ca="1" si="388"/>
        <v>8.7565437930915238</v>
      </c>
      <c r="H868" s="307">
        <f t="shared" ca="1" si="389"/>
        <v>-136.36881292823557</v>
      </c>
      <c r="I868" s="304">
        <f t="shared" ca="1" si="390"/>
        <v>136.6496622705539</v>
      </c>
      <c r="J868" s="306">
        <f t="shared" ca="1" si="391"/>
        <v>712.18513894933824</v>
      </c>
      <c r="K868" s="307">
        <f t="shared" ca="1" si="392"/>
        <v>-11.249340166110636</v>
      </c>
      <c r="L868" s="304">
        <f t="shared" ca="1" si="377"/>
        <v>712.27397804107727</v>
      </c>
      <c r="M868" s="306">
        <f t="shared" ca="1" si="393"/>
        <v>-1.5066721456703274</v>
      </c>
      <c r="N868" s="304">
        <f t="shared" ca="1" si="394"/>
        <v>-86.325955056829727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4.0843000000000034</v>
      </c>
      <c r="T868" s="304">
        <f t="shared" ca="1" si="378"/>
        <v>40.066983000000036</v>
      </c>
      <c r="U868" s="311">
        <f t="shared" ca="1" si="379"/>
        <v>0</v>
      </c>
      <c r="V868" s="306">
        <f t="shared" ca="1" si="380"/>
        <v>1.2263788197109466</v>
      </c>
      <c r="W868" s="304">
        <f t="shared" ca="1" si="381"/>
        <v>33.442587961811682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1.6017849229189771</v>
      </c>
      <c r="AH868" s="304">
        <f t="shared" ca="1" si="405"/>
        <v>-8.1880527764942279</v>
      </c>
    </row>
    <row r="869" spans="1:34" x14ac:dyDescent="0.2">
      <c r="A869" s="347">
        <f t="shared" ca="1" si="383"/>
        <v>1E-4</v>
      </c>
      <c r="B869" s="304">
        <f t="shared" ca="1" si="384"/>
        <v>41.633500000001405</v>
      </c>
      <c r="D869" s="306">
        <f t="shared" ca="1" si="385"/>
        <v>-0.524694370924632</v>
      </c>
      <c r="E869" s="307">
        <f t="shared" ca="1" si="386"/>
        <v>-1.638745426983375</v>
      </c>
      <c r="F869" s="304">
        <f t="shared" ca="1" si="387"/>
        <v>1.7206948472459953</v>
      </c>
      <c r="G869" s="306">
        <f t="shared" ca="1" si="388"/>
        <v>8.7564913236544317</v>
      </c>
      <c r="H869" s="307">
        <f t="shared" ca="1" si="389"/>
        <v>-136.36897680277826</v>
      </c>
      <c r="I869" s="304">
        <f t="shared" ca="1" si="390"/>
        <v>136.64982244605338</v>
      </c>
      <c r="J869" s="306">
        <f t="shared" ca="1" si="391"/>
        <v>712.18513894933824</v>
      </c>
      <c r="K869" s="307">
        <f t="shared" ca="1" si="392"/>
        <v>-11.262977055597187</v>
      </c>
      <c r="L869" s="304">
        <f t="shared" ca="1" si="377"/>
        <v>712.27419354658855</v>
      </c>
      <c r="M869" s="306">
        <f t="shared" ca="1" si="393"/>
        <v>-1.5066726056981481</v>
      </c>
      <c r="N869" s="304">
        <f t="shared" ca="1" si="394"/>
        <v>-86.325981414482314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4.0843000000000034</v>
      </c>
      <c r="T869" s="304">
        <f t="shared" ca="1" si="378"/>
        <v>40.066983000000036</v>
      </c>
      <c r="U869" s="311">
        <f t="shared" ca="1" si="379"/>
        <v>0</v>
      </c>
      <c r="V869" s="306">
        <f t="shared" ca="1" si="380"/>
        <v>1.22638049211186</v>
      </c>
      <c r="W869" s="304">
        <f t="shared" ca="1" si="381"/>
        <v>33.442711967538749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1.6017548502896855</v>
      </c>
      <c r="AH869" s="304">
        <f t="shared" ca="1" si="405"/>
        <v>-8.1880831383129671</v>
      </c>
    </row>
    <row r="870" spans="1:34" x14ac:dyDescent="0.2">
      <c r="A870" s="347">
        <f t="shared" ca="1" si="383"/>
        <v>1E-4</v>
      </c>
      <c r="B870" s="304">
        <f t="shared" ca="1" si="384"/>
        <v>41.633600000001408</v>
      </c>
      <c r="D870" s="306">
        <f t="shared" ca="1" si="385"/>
        <v>-0.52469255748251642</v>
      </c>
      <c r="E870" s="307">
        <f t="shared" ca="1" si="386"/>
        <v>-1.6387148864481116</v>
      </c>
      <c r="F870" s="304">
        <f t="shared" ca="1" si="387"/>
        <v>1.7206652082680671</v>
      </c>
      <c r="G870" s="306">
        <f t="shared" ca="1" si="388"/>
        <v>8.7564388543986826</v>
      </c>
      <c r="H870" s="307">
        <f t="shared" ca="1" si="389"/>
        <v>-136.3691406742669</v>
      </c>
      <c r="I870" s="304">
        <f t="shared" ca="1" si="390"/>
        <v>136.64998261854561</v>
      </c>
      <c r="J870" s="306">
        <f t="shared" ca="1" si="391"/>
        <v>712.18513894933824</v>
      </c>
      <c r="K870" s="307">
        <f t="shared" ca="1" si="392"/>
        <v>-11.276613961471039</v>
      </c>
      <c r="L870" s="304">
        <f t="shared" ca="1" si="377"/>
        <v>712.27440931337992</v>
      </c>
      <c r="M870" s="306">
        <f t="shared" ca="1" si="393"/>
        <v>-1.5066730657221339</v>
      </c>
      <c r="N870" s="304">
        <f t="shared" ca="1" si="394"/>
        <v>-86.326007771915172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4.0843000000000034</v>
      </c>
      <c r="T870" s="304">
        <f t="shared" ca="1" si="378"/>
        <v>40.066983000000036</v>
      </c>
      <c r="U870" s="311">
        <f t="shared" ca="1" si="379"/>
        <v>0</v>
      </c>
      <c r="V870" s="306">
        <f t="shared" ca="1" si="380"/>
        <v>1.2263821645170649</v>
      </c>
      <c r="W870" s="304">
        <f t="shared" ca="1" si="381"/>
        <v>33.442835972216621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1.6017247779127999</v>
      </c>
      <c r="AH870" s="304">
        <f t="shared" ca="1" si="405"/>
        <v>-8.1881134998748184</v>
      </c>
    </row>
    <row r="871" spans="1:34" x14ac:dyDescent="0.2">
      <c r="A871" s="347">
        <f t="shared" ca="1" si="383"/>
        <v>1E-4</v>
      </c>
      <c r="B871" s="304">
        <f t="shared" ca="1" si="384"/>
        <v>41.633700000001411</v>
      </c>
      <c r="D871" s="306">
        <f t="shared" ca="1" si="385"/>
        <v>-0.52469074402728821</v>
      </c>
      <c r="E871" s="307">
        <f t="shared" ca="1" si="386"/>
        <v>-1.6386843461711589</v>
      </c>
      <c r="F871" s="304">
        <f t="shared" ca="1" si="387"/>
        <v>1.7206355695655917</v>
      </c>
      <c r="G871" s="306">
        <f t="shared" ca="1" si="388"/>
        <v>8.75638638532428</v>
      </c>
      <c r="H871" s="307">
        <f t="shared" ca="1" si="389"/>
        <v>-136.36930454270151</v>
      </c>
      <c r="I871" s="304">
        <f t="shared" ca="1" si="390"/>
        <v>136.65014278803065</v>
      </c>
      <c r="J871" s="306">
        <f t="shared" ca="1" si="391"/>
        <v>712.18513894933824</v>
      </c>
      <c r="K871" s="307">
        <f t="shared" ca="1" si="392"/>
        <v>-11.290250883731888</v>
      </c>
      <c r="L871" s="304">
        <f t="shared" ca="1" si="377"/>
        <v>712.27462534145207</v>
      </c>
      <c r="M871" s="306">
        <f t="shared" ca="1" si="393"/>
        <v>-1.5066735257422847</v>
      </c>
      <c r="N871" s="304">
        <f t="shared" ca="1" si="394"/>
        <v>-86.326034129128317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4.0843000000000034</v>
      </c>
      <c r="T871" s="304">
        <f t="shared" ca="1" si="378"/>
        <v>40.066983000000036</v>
      </c>
      <c r="U871" s="311">
        <f t="shared" ca="1" si="379"/>
        <v>0</v>
      </c>
      <c r="V871" s="306">
        <f t="shared" ca="1" si="380"/>
        <v>1.2263838369265614</v>
      </c>
      <c r="W871" s="304">
        <f t="shared" ca="1" si="381"/>
        <v>33.442959975845319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1.6016947057883169</v>
      </c>
      <c r="AH871" s="304">
        <f t="shared" ca="1" si="405"/>
        <v>-8.1881438611797837</v>
      </c>
    </row>
    <row r="872" spans="1:34" x14ac:dyDescent="0.2">
      <c r="A872" s="347">
        <f t="shared" ca="1" si="383"/>
        <v>1E-4</v>
      </c>
      <c r="B872" s="304">
        <f t="shared" ca="1" si="384"/>
        <v>41.633800000001415</v>
      </c>
      <c r="D872" s="306">
        <f t="shared" ca="1" si="385"/>
        <v>-0.52468893055894839</v>
      </c>
      <c r="E872" s="307">
        <f t="shared" ca="1" si="386"/>
        <v>-1.6386538061525098</v>
      </c>
      <c r="F872" s="304">
        <f t="shared" ca="1" si="387"/>
        <v>1.7206059311385626</v>
      </c>
      <c r="G872" s="306">
        <f t="shared" ca="1" si="388"/>
        <v>8.7563339164312239</v>
      </c>
      <c r="H872" s="307">
        <f t="shared" ca="1" si="389"/>
        <v>-136.36946840808213</v>
      </c>
      <c r="I872" s="304">
        <f t="shared" ca="1" si="390"/>
        <v>136.6503029545085</v>
      </c>
      <c r="J872" s="306">
        <f t="shared" ca="1" si="391"/>
        <v>712.18513894933824</v>
      </c>
      <c r="K872" s="307">
        <f t="shared" ca="1" si="392"/>
        <v>-11.303887822379426</v>
      </c>
      <c r="L872" s="304">
        <f t="shared" ca="1" si="377"/>
        <v>712.27484163080555</v>
      </c>
      <c r="M872" s="306">
        <f t="shared" ca="1" si="393"/>
        <v>-1.5066739857586009</v>
      </c>
      <c r="N872" s="304">
        <f t="shared" ca="1" si="394"/>
        <v>-86.326060486121733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4.0843000000000034</v>
      </c>
      <c r="T872" s="304">
        <f t="shared" ca="1" si="378"/>
        <v>40.066983000000036</v>
      </c>
      <c r="U872" s="311">
        <f t="shared" ca="1" si="379"/>
        <v>0</v>
      </c>
      <c r="V872" s="306">
        <f t="shared" ca="1" si="380"/>
        <v>1.2263855093403493</v>
      </c>
      <c r="W872" s="304">
        <f t="shared" ca="1" si="381"/>
        <v>33.443083978424838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1.6016646339162293</v>
      </c>
      <c r="AH872" s="304">
        <f t="shared" ca="1" si="405"/>
        <v>-8.1881742222278699</v>
      </c>
    </row>
    <row r="873" spans="1:34" x14ac:dyDescent="0.2">
      <c r="A873" s="347">
        <f t="shared" ca="1" si="383"/>
        <v>1E-4</v>
      </c>
      <c r="B873" s="304">
        <f t="shared" ca="1" si="384"/>
        <v>41.633900000001418</v>
      </c>
      <c r="D873" s="306">
        <f t="shared" ca="1" si="385"/>
        <v>-0.52468711707749616</v>
      </c>
      <c r="E873" s="307">
        <f t="shared" ca="1" si="386"/>
        <v>-1.6386232663921625</v>
      </c>
      <c r="F873" s="304">
        <f t="shared" ca="1" si="387"/>
        <v>1.7205762929869788</v>
      </c>
      <c r="G873" s="306">
        <f t="shared" ca="1" si="388"/>
        <v>8.7562814477195161</v>
      </c>
      <c r="H873" s="307">
        <f t="shared" ca="1" si="389"/>
        <v>-136.36963227040877</v>
      </c>
      <c r="I873" s="304">
        <f t="shared" ca="1" si="390"/>
        <v>136.6504631179792</v>
      </c>
      <c r="J873" s="306">
        <f t="shared" ca="1" si="391"/>
        <v>712.18513894933824</v>
      </c>
      <c r="K873" s="307">
        <f t="shared" ca="1" si="392"/>
        <v>-11.31752477741335</v>
      </c>
      <c r="L873" s="304">
        <f t="shared" ca="1" si="377"/>
        <v>712.2750581814413</v>
      </c>
      <c r="M873" s="306">
        <f t="shared" ca="1" si="393"/>
        <v>-1.5066744457710821</v>
      </c>
      <c r="N873" s="304">
        <f t="shared" ca="1" si="394"/>
        <v>-86.326086842895435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4.0843000000000034</v>
      </c>
      <c r="T873" s="304">
        <f t="shared" ca="1" si="378"/>
        <v>40.066983000000036</v>
      </c>
      <c r="U873" s="311">
        <f t="shared" ca="1" si="379"/>
        <v>0</v>
      </c>
      <c r="V873" s="306">
        <f t="shared" ca="1" si="380"/>
        <v>1.2263871817584293</v>
      </c>
      <c r="W873" s="304">
        <f t="shared" ca="1" si="381"/>
        <v>33.443207979955183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1.6016345622965424</v>
      </c>
      <c r="AH873" s="304">
        <f t="shared" ca="1" si="405"/>
        <v>-8.1882045830190755</v>
      </c>
    </row>
    <row r="874" spans="1:34" x14ac:dyDescent="0.2">
      <c r="A874" s="347">
        <f t="shared" ca="1" si="383"/>
        <v>1E-4</v>
      </c>
      <c r="B874" s="304">
        <f t="shared" ca="1" si="384"/>
        <v>41.634000000001421</v>
      </c>
      <c r="D874" s="306">
        <f t="shared" ca="1" si="385"/>
        <v>-0.52468530358293364</v>
      </c>
      <c r="E874" s="307">
        <f t="shared" ca="1" si="386"/>
        <v>-1.6385927268901206</v>
      </c>
      <c r="F874" s="304">
        <f t="shared" ca="1" si="387"/>
        <v>1.7205466551108448</v>
      </c>
      <c r="G874" s="306">
        <f t="shared" ca="1" si="388"/>
        <v>8.7562289791891583</v>
      </c>
      <c r="H874" s="307">
        <f t="shared" ca="1" si="389"/>
        <v>-136.36979612968145</v>
      </c>
      <c r="I874" s="304">
        <f t="shared" ca="1" si="390"/>
        <v>136.65062327844271</v>
      </c>
      <c r="J874" s="306">
        <f t="shared" ca="1" si="391"/>
        <v>712.18513894933824</v>
      </c>
      <c r="K874" s="307">
        <f t="shared" ca="1" si="392"/>
        <v>-11.331161748833354</v>
      </c>
      <c r="L874" s="304">
        <f t="shared" ca="1" si="377"/>
        <v>712.27527499335986</v>
      </c>
      <c r="M874" s="306">
        <f t="shared" ca="1" si="393"/>
        <v>-1.5066749057797288</v>
      </c>
      <c r="N874" s="304">
        <f t="shared" ca="1" si="394"/>
        <v>-86.326113199449424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4.0843000000000034</v>
      </c>
      <c r="T874" s="304">
        <f t="shared" ca="1" si="378"/>
        <v>40.066983000000036</v>
      </c>
      <c r="U874" s="311">
        <f t="shared" ca="1" si="379"/>
        <v>0</v>
      </c>
      <c r="V874" s="306">
        <f t="shared" ca="1" si="380"/>
        <v>1.2263888541808003</v>
      </c>
      <c r="W874" s="304">
        <f t="shared" ca="1" si="381"/>
        <v>33.443331980436312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 t="e">
        <f t="shared" ca="1" si="402"/>
        <v>#N/A</v>
      </c>
      <c r="AD874" s="323" t="e">
        <f t="shared" ca="1" si="403"/>
        <v>#N/A</v>
      </c>
      <c r="AE874" s="324" t="e">
        <f t="shared" ca="1" si="382"/>
        <v>#N/A</v>
      </c>
      <c r="AG874" s="306">
        <f t="shared" ca="1" si="404"/>
        <v>1.6016044909292528</v>
      </c>
      <c r="AH874" s="304">
        <f t="shared" ca="1" si="405"/>
        <v>-8.1882349435534003</v>
      </c>
    </row>
    <row r="875" spans="1:34" x14ac:dyDescent="0.2">
      <c r="A875" s="347">
        <f t="shared" ca="1" si="383"/>
        <v>1E-4</v>
      </c>
      <c r="B875" s="304">
        <f t="shared" ca="1" si="384"/>
        <v>41.634100000001425</v>
      </c>
      <c r="D875" s="306">
        <f t="shared" ca="1" si="385"/>
        <v>-0.52468349007525761</v>
      </c>
      <c r="E875" s="307">
        <f t="shared" ca="1" si="386"/>
        <v>-1.6385621876463912</v>
      </c>
      <c r="F875" s="304">
        <f t="shared" ca="1" si="387"/>
        <v>1.7205170175101669</v>
      </c>
      <c r="G875" s="306">
        <f t="shared" ca="1" si="388"/>
        <v>8.7561765108401506</v>
      </c>
      <c r="H875" s="307">
        <f t="shared" ca="1" si="389"/>
        <v>-136.36995998590021</v>
      </c>
      <c r="I875" s="304">
        <f t="shared" ca="1" si="390"/>
        <v>136.65078343589917</v>
      </c>
      <c r="J875" s="306">
        <f t="shared" ca="1" si="391"/>
        <v>712.18513894933824</v>
      </c>
      <c r="K875" s="307">
        <f t="shared" ca="1" si="392"/>
        <v>-11.344798736639133</v>
      </c>
      <c r="L875" s="304">
        <f t="shared" ca="1" si="377"/>
        <v>712.27549206656204</v>
      </c>
      <c r="M875" s="306">
        <f t="shared" ca="1" si="393"/>
        <v>-1.5066753657845406</v>
      </c>
      <c r="N875" s="304">
        <f t="shared" ca="1" si="394"/>
        <v>-86.326139555783698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4.0843000000000034</v>
      </c>
      <c r="T875" s="304">
        <f t="shared" ca="1" si="378"/>
        <v>40.066983000000036</v>
      </c>
      <c r="U875" s="311">
        <f t="shared" ca="1" si="379"/>
        <v>0</v>
      </c>
      <c r="V875" s="306">
        <f t="shared" ca="1" si="380"/>
        <v>1.2263905266074633</v>
      </c>
      <c r="W875" s="304">
        <f t="shared" ca="1" si="381"/>
        <v>33.443455979868297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1.6015744198143711</v>
      </c>
      <c r="AH875" s="304">
        <f t="shared" ca="1" si="405"/>
        <v>-8.1882653038308355</v>
      </c>
    </row>
    <row r="876" spans="1:34" x14ac:dyDescent="0.2">
      <c r="A876" s="347">
        <f t="shared" ca="1" si="383"/>
        <v>1E-4</v>
      </c>
      <c r="B876" s="304">
        <f t="shared" ca="1" si="384"/>
        <v>41.634200000001428</v>
      </c>
      <c r="D876" s="306">
        <f t="shared" ca="1" si="385"/>
        <v>-0.52468167655447329</v>
      </c>
      <c r="E876" s="307">
        <f t="shared" ca="1" si="386"/>
        <v>-1.6385316486609582</v>
      </c>
      <c r="F876" s="304">
        <f t="shared" ca="1" si="387"/>
        <v>1.7204873801849321</v>
      </c>
      <c r="G876" s="306">
        <f t="shared" ca="1" si="388"/>
        <v>8.7561240426724947</v>
      </c>
      <c r="H876" s="307">
        <f t="shared" ca="1" si="389"/>
        <v>-136.37012383906509</v>
      </c>
      <c r="I876" s="304">
        <f t="shared" ca="1" si="390"/>
        <v>136.65094359034853</v>
      </c>
      <c r="J876" s="306">
        <f t="shared" ca="1" si="391"/>
        <v>712.18513894933824</v>
      </c>
      <c r="K876" s="307">
        <f t="shared" ca="1" si="392"/>
        <v>-11.35843574083038</v>
      </c>
      <c r="L876" s="304">
        <f t="shared" ca="1" si="377"/>
        <v>712.2757094010484</v>
      </c>
      <c r="M876" s="306">
        <f t="shared" ca="1" si="393"/>
        <v>-1.5066758257855177</v>
      </c>
      <c r="N876" s="304">
        <f t="shared" ca="1" si="394"/>
        <v>-86.326165911898258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4.0843000000000034</v>
      </c>
      <c r="T876" s="304">
        <f t="shared" ca="1" si="378"/>
        <v>40.066983000000036</v>
      </c>
      <c r="U876" s="311">
        <f t="shared" ca="1" si="379"/>
        <v>0</v>
      </c>
      <c r="V876" s="306">
        <f t="shared" ca="1" si="380"/>
        <v>1.2263921990384175</v>
      </c>
      <c r="W876" s="304">
        <f t="shared" ca="1" si="381"/>
        <v>33.443579978251094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1.6015443489518795</v>
      </c>
      <c r="AH876" s="304">
        <f t="shared" ca="1" si="405"/>
        <v>-8.1882956638513988</v>
      </c>
    </row>
    <row r="877" spans="1:34" x14ac:dyDescent="0.2">
      <c r="A877" s="347">
        <f t="shared" ca="1" si="383"/>
        <v>1E-4</v>
      </c>
      <c r="B877" s="304">
        <f t="shared" ca="1" si="384"/>
        <v>41.634300000001431</v>
      </c>
      <c r="D877" s="306">
        <f t="shared" ca="1" si="385"/>
        <v>-0.52467986302057912</v>
      </c>
      <c r="E877" s="307">
        <f t="shared" ca="1" si="386"/>
        <v>-1.6385011099338307</v>
      </c>
      <c r="F877" s="304">
        <f t="shared" ca="1" si="387"/>
        <v>1.7204577431351484</v>
      </c>
      <c r="G877" s="306">
        <f t="shared" ca="1" si="388"/>
        <v>8.7560715746861923</v>
      </c>
      <c r="H877" s="307">
        <f t="shared" ca="1" si="389"/>
        <v>-136.37028768917608</v>
      </c>
      <c r="I877" s="304">
        <f t="shared" ca="1" si="390"/>
        <v>136.65110374179082</v>
      </c>
      <c r="J877" s="306">
        <f t="shared" ca="1" si="391"/>
        <v>712.18513894933824</v>
      </c>
      <c r="K877" s="307">
        <f t="shared" ca="1" si="392"/>
        <v>-11.372072761406793</v>
      </c>
      <c r="L877" s="304">
        <f t="shared" ca="1" si="377"/>
        <v>712.27592699681975</v>
      </c>
      <c r="M877" s="306">
        <f t="shared" ca="1" si="393"/>
        <v>-1.5066762857826603</v>
      </c>
      <c r="N877" s="304">
        <f t="shared" ca="1" si="394"/>
        <v>-86.326192267793118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4.0843000000000034</v>
      </c>
      <c r="T877" s="304">
        <f t="shared" ca="1" si="378"/>
        <v>40.066983000000036</v>
      </c>
      <c r="U877" s="311">
        <f t="shared" ca="1" si="379"/>
        <v>0</v>
      </c>
      <c r="V877" s="306">
        <f t="shared" ca="1" si="380"/>
        <v>1.2263938714736631</v>
      </c>
      <c r="W877" s="304">
        <f t="shared" ca="1" si="381"/>
        <v>33.443703975584711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1.6015142783417868</v>
      </c>
      <c r="AH877" s="304">
        <f t="shared" ca="1" si="405"/>
        <v>-8.1883260236150797</v>
      </c>
    </row>
    <row r="878" spans="1:34" x14ac:dyDescent="0.2">
      <c r="A878" s="347">
        <f t="shared" ca="1" si="383"/>
        <v>1E-4</v>
      </c>
      <c r="B878" s="304">
        <f t="shared" ca="1" si="384"/>
        <v>41.634400000001435</v>
      </c>
      <c r="D878" s="306">
        <f t="shared" ca="1" si="385"/>
        <v>-0.52467804947357377</v>
      </c>
      <c r="E878" s="307">
        <f t="shared" ca="1" si="386"/>
        <v>-1.6384705714650085</v>
      </c>
      <c r="F878" s="304">
        <f t="shared" ca="1" si="387"/>
        <v>1.7204281063608167</v>
      </c>
      <c r="G878" s="306">
        <f t="shared" ca="1" si="388"/>
        <v>8.7560191068812454</v>
      </c>
      <c r="H878" s="307">
        <f t="shared" ca="1" si="389"/>
        <v>-136.37045153623322</v>
      </c>
      <c r="I878" s="304">
        <f t="shared" ca="1" si="390"/>
        <v>136.65126389022606</v>
      </c>
      <c r="J878" s="306">
        <f t="shared" ca="1" si="391"/>
        <v>712.18513894933824</v>
      </c>
      <c r="K878" s="307">
        <f t="shared" ca="1" si="392"/>
        <v>-11.385709798368064</v>
      </c>
      <c r="L878" s="304">
        <f t="shared" ca="1" si="377"/>
        <v>712.27614485387676</v>
      </c>
      <c r="M878" s="306">
        <f t="shared" ca="1" si="393"/>
        <v>-1.5066767457759684</v>
      </c>
      <c r="N878" s="304">
        <f t="shared" ca="1" si="394"/>
        <v>-86.326218623468279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4.0843000000000034</v>
      </c>
      <c r="T878" s="304">
        <f t="shared" ca="1" si="378"/>
        <v>40.066983000000036</v>
      </c>
      <c r="U878" s="311">
        <f t="shared" ca="1" si="379"/>
        <v>0</v>
      </c>
      <c r="V878" s="306">
        <f t="shared" ca="1" si="380"/>
        <v>1.2263955439132004</v>
      </c>
      <c r="W878" s="304">
        <f t="shared" ca="1" si="381"/>
        <v>33.443827971869155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1.6014842079840967</v>
      </c>
      <c r="AH878" s="304">
        <f t="shared" ca="1" si="405"/>
        <v>-8.188356383121878</v>
      </c>
    </row>
    <row r="879" spans="1:34" x14ac:dyDescent="0.2">
      <c r="A879" s="347">
        <f t="shared" ca="1" si="383"/>
        <v>1E-4</v>
      </c>
      <c r="B879" s="304">
        <f t="shared" ca="1" si="384"/>
        <v>41.634500000001438</v>
      </c>
      <c r="D879" s="306">
        <f t="shared" ca="1" si="385"/>
        <v>-0.52467623591345813</v>
      </c>
      <c r="E879" s="307">
        <f t="shared" ca="1" si="386"/>
        <v>-1.6384400332544899</v>
      </c>
      <c r="F879" s="304">
        <f t="shared" ca="1" si="387"/>
        <v>1.7203984698619355</v>
      </c>
      <c r="G879" s="306">
        <f t="shared" ca="1" si="388"/>
        <v>8.7559666392576538</v>
      </c>
      <c r="H879" s="307">
        <f t="shared" ca="1" si="389"/>
        <v>-136.37061538023656</v>
      </c>
      <c r="I879" s="304">
        <f t="shared" ca="1" si="390"/>
        <v>136.65142403565432</v>
      </c>
      <c r="J879" s="306">
        <f t="shared" ca="1" si="391"/>
        <v>712.18513894933824</v>
      </c>
      <c r="K879" s="307">
        <f t="shared" ca="1" si="392"/>
        <v>-11.399346851713887</v>
      </c>
      <c r="L879" s="304">
        <f t="shared" ca="1" si="377"/>
        <v>712.27636297222011</v>
      </c>
      <c r="M879" s="306">
        <f t="shared" ca="1" si="393"/>
        <v>-1.5066772057654418</v>
      </c>
      <c r="N879" s="304">
        <f t="shared" ca="1" si="394"/>
        <v>-86.326244978923725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4.0843000000000034</v>
      </c>
      <c r="T879" s="304">
        <f t="shared" ca="1" si="378"/>
        <v>40.066983000000036</v>
      </c>
      <c r="U879" s="311">
        <f t="shared" ca="1" si="379"/>
        <v>0</v>
      </c>
      <c r="V879" s="306">
        <f t="shared" ca="1" si="380"/>
        <v>1.2263972163570291</v>
      </c>
      <c r="W879" s="304">
        <f t="shared" ca="1" si="381"/>
        <v>33.443951967104425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1.6014541378788056</v>
      </c>
      <c r="AH879" s="304">
        <f t="shared" ca="1" si="405"/>
        <v>-8.1883867423717955</v>
      </c>
    </row>
    <row r="880" spans="1:34" x14ac:dyDescent="0.2">
      <c r="A880" s="347">
        <f t="shared" ca="1" si="383"/>
        <v>1E-4</v>
      </c>
      <c r="B880" s="304">
        <f t="shared" ca="1" si="384"/>
        <v>41.634600000001441</v>
      </c>
      <c r="D880" s="306">
        <f t="shared" ca="1" si="385"/>
        <v>-0.5246744223402352</v>
      </c>
      <c r="E880" s="307">
        <f t="shared" ca="1" si="386"/>
        <v>-1.6384094953022732</v>
      </c>
      <c r="F880" s="304">
        <f t="shared" ca="1" si="387"/>
        <v>1.7203688336385046</v>
      </c>
      <c r="G880" s="306">
        <f t="shared" ca="1" si="388"/>
        <v>8.7559141718154194</v>
      </c>
      <c r="H880" s="307">
        <f t="shared" ca="1" si="389"/>
        <v>-136.3707792211861</v>
      </c>
      <c r="I880" s="304">
        <f t="shared" ca="1" si="390"/>
        <v>136.65158417807561</v>
      </c>
      <c r="J880" s="306">
        <f t="shared" ca="1" si="391"/>
        <v>712.18513894933824</v>
      </c>
      <c r="K880" s="307">
        <f t="shared" ca="1" si="392"/>
        <v>-11.412983921443958</v>
      </c>
      <c r="L880" s="304">
        <f t="shared" ca="1" si="377"/>
        <v>712.2765813518505</v>
      </c>
      <c r="M880" s="306">
        <f t="shared" ca="1" si="393"/>
        <v>-1.506677665751081</v>
      </c>
      <c r="N880" s="304">
        <f t="shared" ca="1" si="394"/>
        <v>-86.326271334159486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4.0843000000000034</v>
      </c>
      <c r="T880" s="304">
        <f t="shared" ca="1" si="378"/>
        <v>40.066983000000036</v>
      </c>
      <c r="U880" s="311">
        <f t="shared" ca="1" si="379"/>
        <v>0</v>
      </c>
      <c r="V880" s="306">
        <f t="shared" ca="1" si="380"/>
        <v>1.2263988888051491</v>
      </c>
      <c r="W880" s="304">
        <f t="shared" ca="1" si="381"/>
        <v>33.444075961290551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1.60142406802591</v>
      </c>
      <c r="AH880" s="304">
        <f t="shared" ca="1" si="405"/>
        <v>-8.1884171013648359</v>
      </c>
    </row>
    <row r="881" spans="1:34" x14ac:dyDescent="0.2">
      <c r="A881" s="347">
        <f t="shared" ca="1" si="383"/>
        <v>1E-4</v>
      </c>
      <c r="B881" s="304">
        <f t="shared" ca="1" si="384"/>
        <v>41.634700000001445</v>
      </c>
      <c r="D881" s="306">
        <f t="shared" ca="1" si="385"/>
        <v>-0.52467260875390198</v>
      </c>
      <c r="E881" s="307">
        <f t="shared" ca="1" si="386"/>
        <v>-1.6383789576083547</v>
      </c>
      <c r="F881" s="304">
        <f t="shared" ca="1" si="387"/>
        <v>1.7203391976905207</v>
      </c>
      <c r="G881" s="306">
        <f t="shared" ca="1" si="388"/>
        <v>8.7558617045545439</v>
      </c>
      <c r="H881" s="307">
        <f t="shared" ca="1" si="389"/>
        <v>-136.37094305908187</v>
      </c>
      <c r="I881" s="304">
        <f t="shared" ca="1" si="390"/>
        <v>136.65174431748989</v>
      </c>
      <c r="J881" s="306">
        <f t="shared" ca="1" si="391"/>
        <v>712.18513894933824</v>
      </c>
      <c r="K881" s="307">
        <f t="shared" ca="1" si="392"/>
        <v>-11.426621007557971</v>
      </c>
      <c r="L881" s="304">
        <f t="shared" ca="1" si="377"/>
        <v>712.2767999927687</v>
      </c>
      <c r="M881" s="306">
        <f t="shared" ca="1" si="393"/>
        <v>-1.5066781257328856</v>
      </c>
      <c r="N881" s="304">
        <f t="shared" ca="1" si="394"/>
        <v>-86.326297689175547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4.0843000000000034</v>
      </c>
      <c r="T881" s="304">
        <f t="shared" ca="1" si="378"/>
        <v>40.066983000000036</v>
      </c>
      <c r="U881" s="311">
        <f t="shared" ca="1" si="379"/>
        <v>0</v>
      </c>
      <c r="V881" s="306">
        <f t="shared" ca="1" si="380"/>
        <v>1.2264005612575604</v>
      </c>
      <c r="W881" s="304">
        <f t="shared" ca="1" si="381"/>
        <v>33.444199954427468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1.6013939984254062</v>
      </c>
      <c r="AH881" s="304">
        <f t="shared" ca="1" si="405"/>
        <v>-8.1884474601010027</v>
      </c>
    </row>
    <row r="882" spans="1:34" x14ac:dyDescent="0.2">
      <c r="A882" s="347">
        <f t="shared" ca="1" si="383"/>
        <v>1E-4</v>
      </c>
      <c r="B882" s="304">
        <f t="shared" ca="1" si="384"/>
        <v>41.634800000001448</v>
      </c>
      <c r="D882" s="306">
        <f t="shared" ca="1" si="385"/>
        <v>-0.52467079515445991</v>
      </c>
      <c r="E882" s="307">
        <f t="shared" ca="1" si="386"/>
        <v>-1.638348420172747</v>
      </c>
      <c r="F882" s="304">
        <f t="shared" ca="1" si="387"/>
        <v>1.720309562017996</v>
      </c>
      <c r="G882" s="306">
        <f t="shared" ca="1" si="388"/>
        <v>8.7558092374750291</v>
      </c>
      <c r="H882" s="307">
        <f t="shared" ca="1" si="389"/>
        <v>-136.37110689392389</v>
      </c>
      <c r="I882" s="304">
        <f t="shared" ca="1" si="390"/>
        <v>136.65190445389726</v>
      </c>
      <c r="J882" s="306">
        <f t="shared" ca="1" si="391"/>
        <v>712.18513894933824</v>
      </c>
      <c r="K882" s="307">
        <f t="shared" ca="1" si="392"/>
        <v>-11.440258110055622</v>
      </c>
      <c r="L882" s="304">
        <f t="shared" ca="1" si="377"/>
        <v>712.2770188949753</v>
      </c>
      <c r="M882" s="306">
        <f t="shared" ca="1" si="393"/>
        <v>-1.5066785857108558</v>
      </c>
      <c r="N882" s="304">
        <f t="shared" ca="1" si="394"/>
        <v>-86.326324043971894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4.0843000000000034</v>
      </c>
      <c r="T882" s="304">
        <f t="shared" ca="1" si="378"/>
        <v>40.066983000000036</v>
      </c>
      <c r="U882" s="311">
        <f t="shared" ca="1" si="379"/>
        <v>0</v>
      </c>
      <c r="V882" s="306">
        <f t="shared" ca="1" si="380"/>
        <v>1.2264022337142628</v>
      </c>
      <c r="W882" s="304">
        <f t="shared" ca="1" si="381"/>
        <v>33.444323946515233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1.6013639290773085</v>
      </c>
      <c r="AH882" s="304">
        <f t="shared" ca="1" si="405"/>
        <v>-8.1884778185802798</v>
      </c>
    </row>
    <row r="883" spans="1:34" x14ac:dyDescent="0.2">
      <c r="A883" s="347">
        <f t="shared" ca="1" si="383"/>
        <v>1E-4</v>
      </c>
      <c r="B883" s="304">
        <f t="shared" ca="1" si="384"/>
        <v>41.634900000001451</v>
      </c>
      <c r="D883" s="306">
        <f t="shared" ca="1" si="385"/>
        <v>-0.52466898154191122</v>
      </c>
      <c r="E883" s="307">
        <f t="shared" ca="1" si="386"/>
        <v>-1.6383178829954357</v>
      </c>
      <c r="F883" s="304">
        <f t="shared" ca="1" si="387"/>
        <v>1.7202799266209186</v>
      </c>
      <c r="G883" s="306">
        <f t="shared" ca="1" si="388"/>
        <v>8.7557567705768751</v>
      </c>
      <c r="H883" s="307">
        <f t="shared" ca="1" si="389"/>
        <v>-136.37127072571221</v>
      </c>
      <c r="I883" s="304">
        <f t="shared" ca="1" si="390"/>
        <v>136.65206458729773</v>
      </c>
      <c r="J883" s="306">
        <f t="shared" ca="1" si="391"/>
        <v>712.18513894933824</v>
      </c>
      <c r="K883" s="307">
        <f t="shared" ca="1" si="392"/>
        <v>-11.453895228936604</v>
      </c>
      <c r="L883" s="304">
        <f t="shared" ca="1" si="377"/>
        <v>712.27723805847097</v>
      </c>
      <c r="M883" s="306">
        <f t="shared" ca="1" si="393"/>
        <v>-1.5066790456849917</v>
      </c>
      <c r="N883" s="304">
        <f t="shared" ca="1" si="394"/>
        <v>-86.32635039854857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4.0843000000000034</v>
      </c>
      <c r="T883" s="304">
        <f t="shared" ca="1" si="378"/>
        <v>40.066983000000036</v>
      </c>
      <c r="U883" s="311">
        <f t="shared" ca="1" si="379"/>
        <v>0</v>
      </c>
      <c r="V883" s="306">
        <f t="shared" ca="1" si="380"/>
        <v>1.226403906175257</v>
      </c>
      <c r="W883" s="304">
        <f t="shared" ca="1" si="381"/>
        <v>33.444447937553846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1.6013338599816027</v>
      </c>
      <c r="AH883" s="304">
        <f t="shared" ca="1" si="405"/>
        <v>-8.1885081768026851</v>
      </c>
    </row>
    <row r="884" spans="1:34" x14ac:dyDescent="0.2">
      <c r="A884" s="347">
        <f t="shared" ca="1" si="383"/>
        <v>1E-4</v>
      </c>
      <c r="B884" s="304">
        <f t="shared" ca="1" si="384"/>
        <v>41.635000000001455</v>
      </c>
      <c r="D884" s="306">
        <f t="shared" ca="1" si="385"/>
        <v>-0.52466716791625423</v>
      </c>
      <c r="E884" s="307">
        <f t="shared" ca="1" si="386"/>
        <v>-1.6382873460764227</v>
      </c>
      <c r="F884" s="304">
        <f t="shared" ca="1" si="387"/>
        <v>1.7202502914992897</v>
      </c>
      <c r="G884" s="306">
        <f t="shared" ca="1" si="388"/>
        <v>8.7557043038600835</v>
      </c>
      <c r="H884" s="307">
        <f t="shared" ca="1" si="389"/>
        <v>-136.37143455444681</v>
      </c>
      <c r="I884" s="304">
        <f t="shared" ca="1" si="390"/>
        <v>136.6522247176913</v>
      </c>
      <c r="J884" s="306">
        <f t="shared" ca="1" si="391"/>
        <v>712.18513894933824</v>
      </c>
      <c r="K884" s="307">
        <f t="shared" ca="1" si="392"/>
        <v>-11.467532364200611</v>
      </c>
      <c r="L884" s="304">
        <f t="shared" ca="1" si="377"/>
        <v>712.27745748325651</v>
      </c>
      <c r="M884" s="306">
        <f t="shared" ca="1" si="393"/>
        <v>-1.5066795056552935</v>
      </c>
      <c r="N884" s="304">
        <f t="shared" ca="1" si="394"/>
        <v>-86.326376752905574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4.0843000000000034</v>
      </c>
      <c r="T884" s="304">
        <f t="shared" ca="1" si="378"/>
        <v>40.066983000000036</v>
      </c>
      <c r="U884" s="311">
        <f t="shared" ca="1" si="379"/>
        <v>0</v>
      </c>
      <c r="V884" s="306">
        <f t="shared" ca="1" si="380"/>
        <v>1.2264055786405421</v>
      </c>
      <c r="W884" s="304">
        <f t="shared" ca="1" si="381"/>
        <v>33.444571927543272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 t="e">
        <f t="shared" ca="1" si="402"/>
        <v>#N/A</v>
      </c>
      <c r="AD884" s="323" t="e">
        <f t="shared" ca="1" si="403"/>
        <v>#N/A</v>
      </c>
      <c r="AE884" s="324" t="e">
        <f t="shared" ca="1" si="382"/>
        <v>#N/A</v>
      </c>
      <c r="AG884" s="306">
        <f t="shared" ca="1" si="404"/>
        <v>1.6013037911382888</v>
      </c>
      <c r="AH884" s="304">
        <f t="shared" ca="1" si="405"/>
        <v>-8.1885385347682149</v>
      </c>
    </row>
    <row r="885" spans="1:34" x14ac:dyDescent="0.2">
      <c r="A885" s="347">
        <f t="shared" ca="1" si="383"/>
        <v>1E-4</v>
      </c>
      <c r="B885" s="304">
        <f t="shared" ca="1" si="384"/>
        <v>41.635100000001458</v>
      </c>
      <c r="D885" s="306">
        <f t="shared" ca="1" si="385"/>
        <v>-0.52466535427748739</v>
      </c>
      <c r="E885" s="307">
        <f t="shared" ca="1" si="386"/>
        <v>-1.6382568094157186</v>
      </c>
      <c r="F885" s="304">
        <f t="shared" ca="1" si="387"/>
        <v>1.7202206566531202</v>
      </c>
      <c r="G885" s="306">
        <f t="shared" ca="1" si="388"/>
        <v>8.7556518373246561</v>
      </c>
      <c r="H885" s="307">
        <f t="shared" ca="1" si="389"/>
        <v>-136.37159838012775</v>
      </c>
      <c r="I885" s="304">
        <f t="shared" ca="1" si="390"/>
        <v>136.65238484507802</v>
      </c>
      <c r="J885" s="306">
        <f t="shared" ca="1" si="391"/>
        <v>712.18513894933824</v>
      </c>
      <c r="K885" s="307">
        <f t="shared" ca="1" si="392"/>
        <v>-11.481169515847339</v>
      </c>
      <c r="L885" s="304">
        <f t="shared" ca="1" si="377"/>
        <v>712.27767716933249</v>
      </c>
      <c r="M885" s="306">
        <f t="shared" ca="1" si="393"/>
        <v>-1.5066799656217609</v>
      </c>
      <c r="N885" s="304">
        <f t="shared" ca="1" si="394"/>
        <v>-86.326403107042864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4.0843000000000034</v>
      </c>
      <c r="T885" s="304">
        <f t="shared" ca="1" si="378"/>
        <v>40.066983000000036</v>
      </c>
      <c r="U885" s="311">
        <f t="shared" ca="1" si="379"/>
        <v>0</v>
      </c>
      <c r="V885" s="306">
        <f t="shared" ca="1" si="380"/>
        <v>1.2264072511101185</v>
      </c>
      <c r="W885" s="304">
        <f t="shared" ca="1" si="381"/>
        <v>33.444695916483539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1.6012737225473792</v>
      </c>
      <c r="AH885" s="304">
        <f t="shared" ca="1" si="405"/>
        <v>-8.1885688924768605</v>
      </c>
    </row>
    <row r="886" spans="1:34" x14ac:dyDescent="0.2">
      <c r="A886" s="347">
        <f t="shared" ca="1" si="383"/>
        <v>1E-4</v>
      </c>
      <c r="B886" s="304">
        <f t="shared" ca="1" si="384"/>
        <v>41.635200000001461</v>
      </c>
      <c r="D886" s="306">
        <f t="shared" ca="1" si="385"/>
        <v>-0.5246635406256156</v>
      </c>
      <c r="E886" s="307">
        <f t="shared" ca="1" si="386"/>
        <v>-1.6382262730133093</v>
      </c>
      <c r="F886" s="304">
        <f t="shared" ca="1" si="387"/>
        <v>1.7201910220823979</v>
      </c>
      <c r="G886" s="306">
        <f t="shared" ca="1" si="388"/>
        <v>8.755599370970593</v>
      </c>
      <c r="H886" s="307">
        <f t="shared" ca="1" si="389"/>
        <v>-136.37176220275506</v>
      </c>
      <c r="I886" s="304">
        <f t="shared" ca="1" si="390"/>
        <v>136.65254496945789</v>
      </c>
      <c r="J886" s="306">
        <f t="shared" ca="1" si="391"/>
        <v>712.18513894933824</v>
      </c>
      <c r="K886" s="307">
        <f t="shared" ca="1" si="392"/>
        <v>-11.494806683876483</v>
      </c>
      <c r="L886" s="304">
        <f t="shared" ca="1" si="377"/>
        <v>712.27789711669982</v>
      </c>
      <c r="M886" s="306">
        <f t="shared" ca="1" si="393"/>
        <v>-1.506680425584394</v>
      </c>
      <c r="N886" s="304">
        <f t="shared" ca="1" si="394"/>
        <v>-86.326429460960469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4.0843000000000034</v>
      </c>
      <c r="T886" s="304">
        <f t="shared" ca="1" si="378"/>
        <v>40.066983000000036</v>
      </c>
      <c r="U886" s="311">
        <f t="shared" ca="1" si="379"/>
        <v>0</v>
      </c>
      <c r="V886" s="306">
        <f t="shared" ca="1" si="380"/>
        <v>1.2264089235839866</v>
      </c>
      <c r="W886" s="304">
        <f t="shared" ca="1" si="381"/>
        <v>33.444819904374661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1.6012436542088633</v>
      </c>
      <c r="AH886" s="304">
        <f t="shared" ca="1" si="405"/>
        <v>-8.1885992499286324</v>
      </c>
    </row>
    <row r="887" spans="1:34" x14ac:dyDescent="0.2">
      <c r="A887" s="347">
        <f t="shared" ca="1" si="383"/>
        <v>1E-4</v>
      </c>
      <c r="B887" s="304">
        <f t="shared" ca="1" si="384"/>
        <v>41.635300000001465</v>
      </c>
      <c r="D887" s="306">
        <f t="shared" ca="1" si="385"/>
        <v>-0.52466172696063784</v>
      </c>
      <c r="E887" s="307">
        <f t="shared" ca="1" si="386"/>
        <v>-1.6381957368691982</v>
      </c>
      <c r="F887" s="304">
        <f t="shared" ca="1" si="387"/>
        <v>1.7201613877871269</v>
      </c>
      <c r="G887" s="306">
        <f t="shared" ca="1" si="388"/>
        <v>8.7555469047978978</v>
      </c>
      <c r="H887" s="307">
        <f t="shared" ca="1" si="389"/>
        <v>-136.37192602232875</v>
      </c>
      <c r="I887" s="304">
        <f t="shared" ca="1" si="390"/>
        <v>136.65270509083098</v>
      </c>
      <c r="J887" s="306">
        <f t="shared" ca="1" si="391"/>
        <v>712.18513894933824</v>
      </c>
      <c r="K887" s="307">
        <f t="shared" ca="1" si="392"/>
        <v>-11.508443868287737</v>
      </c>
      <c r="L887" s="304">
        <f t="shared" ca="1" si="377"/>
        <v>712.27811732535895</v>
      </c>
      <c r="M887" s="306">
        <f t="shared" ca="1" si="393"/>
        <v>-1.506680885543193</v>
      </c>
      <c r="N887" s="304">
        <f t="shared" ca="1" si="394"/>
        <v>-86.326455814658416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4.0843000000000034</v>
      </c>
      <c r="T887" s="304">
        <f t="shared" ca="1" si="378"/>
        <v>40.066983000000036</v>
      </c>
      <c r="U887" s="311">
        <f t="shared" ca="1" si="379"/>
        <v>0</v>
      </c>
      <c r="V887" s="306">
        <f t="shared" ca="1" si="380"/>
        <v>1.2264105960621452</v>
      </c>
      <c r="W887" s="304">
        <f t="shared" ca="1" si="381"/>
        <v>33.44494389121661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1.6012135861227392</v>
      </c>
      <c r="AH887" s="304">
        <f t="shared" ca="1" si="405"/>
        <v>-8.1886296071235307</v>
      </c>
    </row>
    <row r="888" spans="1:34" x14ac:dyDescent="0.2">
      <c r="A888" s="347">
        <f t="shared" ca="1" si="383"/>
        <v>1E-4</v>
      </c>
      <c r="B888" s="304">
        <f t="shared" ca="1" si="384"/>
        <v>41.635400000001468</v>
      </c>
      <c r="D888" s="306">
        <f t="shared" ca="1" si="385"/>
        <v>-0.52465991328255268</v>
      </c>
      <c r="E888" s="307">
        <f t="shared" ca="1" si="386"/>
        <v>-1.6381652009833907</v>
      </c>
      <c r="F888" s="304">
        <f t="shared" ca="1" si="387"/>
        <v>1.720131753767312</v>
      </c>
      <c r="G888" s="306">
        <f t="shared" ca="1" si="388"/>
        <v>8.7554944388065703</v>
      </c>
      <c r="H888" s="307">
        <f t="shared" ca="1" si="389"/>
        <v>-136.37208983884884</v>
      </c>
      <c r="I888" s="304">
        <f t="shared" ca="1" si="390"/>
        <v>136.65286520919724</v>
      </c>
      <c r="J888" s="306">
        <f t="shared" ca="1" si="391"/>
        <v>712.18513894933824</v>
      </c>
      <c r="K888" s="307">
        <f t="shared" ca="1" si="392"/>
        <v>-11.522081069080796</v>
      </c>
      <c r="L888" s="304">
        <f t="shared" ca="1" si="377"/>
        <v>712.27833779531068</v>
      </c>
      <c r="M888" s="306">
        <f t="shared" ca="1" si="393"/>
        <v>-1.506681345498158</v>
      </c>
      <c r="N888" s="304">
        <f t="shared" ca="1" si="394"/>
        <v>-86.326482168136678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4.0843000000000034</v>
      </c>
      <c r="T888" s="304">
        <f t="shared" ca="1" si="378"/>
        <v>40.066983000000036</v>
      </c>
      <c r="U888" s="311">
        <f t="shared" ca="1" si="379"/>
        <v>0</v>
      </c>
      <c r="V888" s="306">
        <f t="shared" ca="1" si="380"/>
        <v>1.2264122685445957</v>
      </c>
      <c r="W888" s="304">
        <f t="shared" ca="1" si="381"/>
        <v>33.445067877009407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1.6011835182890142</v>
      </c>
      <c r="AH888" s="304">
        <f t="shared" ca="1" si="405"/>
        <v>-8.1886599640615483</v>
      </c>
    </row>
    <row r="889" spans="1:34" x14ac:dyDescent="0.2">
      <c r="A889" s="347">
        <f t="shared" ca="1" si="383"/>
        <v>1E-4</v>
      </c>
      <c r="B889" s="304">
        <f t="shared" ca="1" si="384"/>
        <v>41.635500000001471</v>
      </c>
      <c r="D889" s="306">
        <f t="shared" ca="1" si="385"/>
        <v>-0.524658099591361</v>
      </c>
      <c r="E889" s="307">
        <f t="shared" ca="1" si="386"/>
        <v>-1.6381346653558815</v>
      </c>
      <c r="F889" s="304">
        <f t="shared" ca="1" si="387"/>
        <v>1.7201021200229492</v>
      </c>
      <c r="G889" s="306">
        <f t="shared" ca="1" si="388"/>
        <v>8.7554419729966106</v>
      </c>
      <c r="H889" s="307">
        <f t="shared" ca="1" si="389"/>
        <v>-136.37225365231538</v>
      </c>
      <c r="I889" s="304">
        <f t="shared" ca="1" si="390"/>
        <v>136.65302532455678</v>
      </c>
      <c r="J889" s="306">
        <f t="shared" ca="1" si="391"/>
        <v>712.18513894933824</v>
      </c>
      <c r="K889" s="307">
        <f t="shared" ca="1" si="392"/>
        <v>-11.535718286255355</v>
      </c>
      <c r="L889" s="304">
        <f t="shared" ca="1" si="377"/>
        <v>712.27855852655568</v>
      </c>
      <c r="M889" s="306">
        <f t="shared" ca="1" si="393"/>
        <v>-1.506681805449289</v>
      </c>
      <c r="N889" s="304">
        <f t="shared" ca="1" si="394"/>
        <v>-86.326508521395255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4.0843000000000034</v>
      </c>
      <c r="T889" s="304">
        <f t="shared" ca="1" si="378"/>
        <v>40.066983000000036</v>
      </c>
      <c r="U889" s="311">
        <f t="shared" ca="1" si="379"/>
        <v>0</v>
      </c>
      <c r="V889" s="306">
        <f t="shared" ca="1" si="380"/>
        <v>1.2264139410313366</v>
      </c>
      <c r="W889" s="304">
        <f t="shared" ca="1" si="381"/>
        <v>33.445191861753038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1.6011534507076828</v>
      </c>
      <c r="AH889" s="304">
        <f t="shared" ca="1" si="405"/>
        <v>-8.1886903207426922</v>
      </c>
    </row>
    <row r="890" spans="1:34" x14ac:dyDescent="0.2">
      <c r="A890" s="347">
        <f t="shared" ca="1" si="383"/>
        <v>1E-4</v>
      </c>
      <c r="B890" s="304">
        <f t="shared" ca="1" si="384"/>
        <v>41.635600000001475</v>
      </c>
      <c r="D890" s="306">
        <f t="shared" ca="1" si="385"/>
        <v>-0.52465628588706359</v>
      </c>
      <c r="E890" s="307">
        <f t="shared" ca="1" si="386"/>
        <v>-1.6381041299866723</v>
      </c>
      <c r="F890" s="304">
        <f t="shared" ca="1" si="387"/>
        <v>1.7200724865540407</v>
      </c>
      <c r="G890" s="306">
        <f t="shared" ca="1" si="388"/>
        <v>8.7553895073680224</v>
      </c>
      <c r="H890" s="307">
        <f t="shared" ca="1" si="389"/>
        <v>-136.37241746272838</v>
      </c>
      <c r="I890" s="304">
        <f t="shared" ca="1" si="390"/>
        <v>136.65318543690958</v>
      </c>
      <c r="J890" s="306">
        <f t="shared" ca="1" si="391"/>
        <v>712.18513894933824</v>
      </c>
      <c r="K890" s="307">
        <f t="shared" ca="1" si="392"/>
        <v>-11.549355519811106</v>
      </c>
      <c r="L890" s="304">
        <f t="shared" ca="1" si="377"/>
        <v>712.27877951909477</v>
      </c>
      <c r="M890" s="306">
        <f t="shared" ca="1" si="393"/>
        <v>-1.5066822653965859</v>
      </c>
      <c r="N890" s="304">
        <f t="shared" ca="1" si="394"/>
        <v>-86.326534874434174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4.0843000000000034</v>
      </c>
      <c r="T890" s="304">
        <f t="shared" ca="1" si="378"/>
        <v>40.066983000000036</v>
      </c>
      <c r="U890" s="311">
        <f t="shared" ca="1" si="379"/>
        <v>0</v>
      </c>
      <c r="V890" s="306">
        <f t="shared" ca="1" si="380"/>
        <v>1.2264156135223694</v>
      </c>
      <c r="W890" s="304">
        <f t="shared" ca="1" si="381"/>
        <v>33.445315845447531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1.6011233833787468</v>
      </c>
      <c r="AH890" s="304">
        <f t="shared" ca="1" si="405"/>
        <v>-8.188720677166959</v>
      </c>
    </row>
    <row r="891" spans="1:34" x14ac:dyDescent="0.2">
      <c r="A891" s="347">
        <f t="shared" ca="1" si="383"/>
        <v>1E-4</v>
      </c>
      <c r="B891" s="304">
        <f t="shared" ca="1" si="384"/>
        <v>41.635700000001478</v>
      </c>
      <c r="D891" s="306">
        <f t="shared" ca="1" si="385"/>
        <v>-0.52465447216966121</v>
      </c>
      <c r="E891" s="307">
        <f t="shared" ca="1" si="386"/>
        <v>-1.6380735948757579</v>
      </c>
      <c r="F891" s="304">
        <f t="shared" ca="1" si="387"/>
        <v>1.7200428533605825</v>
      </c>
      <c r="G891" s="306">
        <f t="shared" ca="1" si="388"/>
        <v>8.7553370419208054</v>
      </c>
      <c r="H891" s="307">
        <f t="shared" ca="1" si="389"/>
        <v>-136.37258127008786</v>
      </c>
      <c r="I891" s="304">
        <f t="shared" ca="1" si="390"/>
        <v>136.65334554625565</v>
      </c>
      <c r="J891" s="306">
        <f t="shared" ca="1" si="391"/>
        <v>712.18513894933824</v>
      </c>
      <c r="K891" s="307">
        <f t="shared" ca="1" si="392"/>
        <v>-11.562992769747748</v>
      </c>
      <c r="L891" s="304">
        <f t="shared" ca="1" si="377"/>
        <v>712.2790007729285</v>
      </c>
      <c r="M891" s="306">
        <f t="shared" ca="1" si="393"/>
        <v>-1.5066827253400488</v>
      </c>
      <c r="N891" s="304">
        <f t="shared" ca="1" si="394"/>
        <v>-86.326561227253407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4.0843000000000034</v>
      </c>
      <c r="T891" s="304">
        <f t="shared" ca="1" si="378"/>
        <v>40.066983000000036</v>
      </c>
      <c r="U891" s="311">
        <f t="shared" ca="1" si="379"/>
        <v>0</v>
      </c>
      <c r="V891" s="306">
        <f t="shared" ca="1" si="380"/>
        <v>1.226417286017693</v>
      </c>
      <c r="W891" s="304">
        <f t="shared" ca="1" si="381"/>
        <v>33.445439828092859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1.6010933163021992</v>
      </c>
      <c r="AH891" s="304">
        <f t="shared" ca="1" si="405"/>
        <v>-8.1887510333343538</v>
      </c>
    </row>
    <row r="892" spans="1:34" x14ac:dyDescent="0.2">
      <c r="A892" s="347">
        <f t="shared" ca="1" si="383"/>
        <v>1E-4</v>
      </c>
      <c r="B892" s="304">
        <f t="shared" ca="1" si="384"/>
        <v>41.635800000001481</v>
      </c>
      <c r="D892" s="306">
        <f t="shared" ca="1" si="385"/>
        <v>-0.52465265843915432</v>
      </c>
      <c r="E892" s="307">
        <f t="shared" ca="1" si="386"/>
        <v>-1.6380430600231453</v>
      </c>
      <c r="F892" s="304">
        <f t="shared" ca="1" si="387"/>
        <v>1.7200132204425818</v>
      </c>
      <c r="G892" s="306">
        <f t="shared" ca="1" si="388"/>
        <v>8.7552845766549616</v>
      </c>
      <c r="H892" s="307">
        <f t="shared" ca="1" si="389"/>
        <v>-136.37274507439386</v>
      </c>
      <c r="I892" s="304">
        <f t="shared" ca="1" si="390"/>
        <v>136.65350565259507</v>
      </c>
      <c r="J892" s="306">
        <f t="shared" ca="1" si="391"/>
        <v>712.18513894933824</v>
      </c>
      <c r="K892" s="307">
        <f t="shared" ca="1" si="392"/>
        <v>-11.576630036064971</v>
      </c>
      <c r="L892" s="304">
        <f t="shared" ca="1" si="377"/>
        <v>712.27922228805755</v>
      </c>
      <c r="M892" s="306">
        <f t="shared" ca="1" si="393"/>
        <v>-1.5066831852796778</v>
      </c>
      <c r="N892" s="304">
        <f t="shared" ca="1" si="394"/>
        <v>-86.326587579852983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4.0843000000000034</v>
      </c>
      <c r="T892" s="304">
        <f t="shared" ca="1" si="378"/>
        <v>40.066983000000036</v>
      </c>
      <c r="U892" s="311">
        <f t="shared" ca="1" si="379"/>
        <v>0</v>
      </c>
      <c r="V892" s="306">
        <f t="shared" ca="1" si="380"/>
        <v>1.2264189585173078</v>
      </c>
      <c r="W892" s="304">
        <f t="shared" ca="1" si="381"/>
        <v>33.445563809689048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1.6010632494780523</v>
      </c>
      <c r="AH892" s="304">
        <f t="shared" ca="1" si="405"/>
        <v>-8.1887813892448715</v>
      </c>
    </row>
    <row r="893" spans="1:34" x14ac:dyDescent="0.2">
      <c r="A893" s="347">
        <f t="shared" ca="1" si="383"/>
        <v>1E-4</v>
      </c>
      <c r="B893" s="304">
        <f t="shared" ca="1" si="384"/>
        <v>41.635900000001484</v>
      </c>
      <c r="D893" s="306">
        <f t="shared" ca="1" si="385"/>
        <v>-0.52465084469554235</v>
      </c>
      <c r="E893" s="307">
        <f t="shared" ca="1" si="386"/>
        <v>-1.6380125254288238</v>
      </c>
      <c r="F893" s="304">
        <f t="shared" ca="1" si="387"/>
        <v>1.7199835878000287</v>
      </c>
      <c r="G893" s="306">
        <f t="shared" ca="1" si="388"/>
        <v>8.7552321115704927</v>
      </c>
      <c r="H893" s="307">
        <f t="shared" ca="1" si="389"/>
        <v>-136.3729088756464</v>
      </c>
      <c r="I893" s="304">
        <f t="shared" ca="1" si="390"/>
        <v>136.65366575592779</v>
      </c>
      <c r="J893" s="306">
        <f t="shared" ca="1" si="391"/>
        <v>712.18513894933824</v>
      </c>
      <c r="K893" s="307">
        <f t="shared" ca="1" si="392"/>
        <v>-11.590267318762473</v>
      </c>
      <c r="L893" s="304">
        <f t="shared" ca="1" si="377"/>
        <v>712.27944406448273</v>
      </c>
      <c r="M893" s="306">
        <f t="shared" ca="1" si="393"/>
        <v>-1.506683645215473</v>
      </c>
      <c r="N893" s="304">
        <f t="shared" ca="1" si="394"/>
        <v>-86.326613932232902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4.0843000000000034</v>
      </c>
      <c r="T893" s="304">
        <f t="shared" ca="1" si="378"/>
        <v>40.066983000000036</v>
      </c>
      <c r="U893" s="311">
        <f t="shared" ca="1" si="379"/>
        <v>0</v>
      </c>
      <c r="V893" s="306">
        <f t="shared" ca="1" si="380"/>
        <v>1.2264206310212136</v>
      </c>
      <c r="W893" s="304">
        <f t="shared" ca="1" si="381"/>
        <v>33.445687790236072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1.6010331829062938</v>
      </c>
      <c r="AH893" s="304">
        <f t="shared" ca="1" si="405"/>
        <v>-8.1888117448985192</v>
      </c>
    </row>
    <row r="894" spans="1:34" x14ac:dyDescent="0.2">
      <c r="A894" s="347">
        <f t="shared" ca="1" si="383"/>
        <v>1E-4</v>
      </c>
      <c r="B894" s="304">
        <f t="shared" ca="1" si="384"/>
        <v>41.636000000001488</v>
      </c>
      <c r="D894" s="306">
        <f t="shared" ca="1" si="385"/>
        <v>-0.52464903093882542</v>
      </c>
      <c r="E894" s="307">
        <f t="shared" ca="1" si="386"/>
        <v>-1.637981991092806</v>
      </c>
      <c r="F894" s="304">
        <f t="shared" ca="1" si="387"/>
        <v>1.7199539554329359</v>
      </c>
      <c r="G894" s="306">
        <f t="shared" ca="1" si="388"/>
        <v>8.7551796466673988</v>
      </c>
      <c r="H894" s="307">
        <f t="shared" ca="1" si="389"/>
        <v>-136.37307267384551</v>
      </c>
      <c r="I894" s="304">
        <f t="shared" ca="1" si="390"/>
        <v>136.65382585625392</v>
      </c>
      <c r="J894" s="306">
        <f t="shared" ca="1" si="391"/>
        <v>712.18513894933824</v>
      </c>
      <c r="K894" s="307">
        <f t="shared" ca="1" si="392"/>
        <v>-11.603904617839948</v>
      </c>
      <c r="L894" s="304">
        <f t="shared" ca="1" si="377"/>
        <v>712.2796661022046</v>
      </c>
      <c r="M894" s="306">
        <f t="shared" ca="1" si="393"/>
        <v>-1.5066841051474344</v>
      </c>
      <c r="N894" s="304">
        <f t="shared" ca="1" si="394"/>
        <v>-86.32664028439315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4.0843000000000034</v>
      </c>
      <c r="T894" s="304">
        <f t="shared" ca="1" si="378"/>
        <v>40.066983000000036</v>
      </c>
      <c r="U894" s="311">
        <f t="shared" ca="1" si="379"/>
        <v>0</v>
      </c>
      <c r="V894" s="306">
        <f t="shared" ca="1" si="380"/>
        <v>1.2264223035294104</v>
      </c>
      <c r="W894" s="304">
        <f t="shared" ca="1" si="381"/>
        <v>33.445811769733957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 t="e">
        <f t="shared" ca="1" si="402"/>
        <v>#N/A</v>
      </c>
      <c r="AD894" s="323" t="e">
        <f t="shared" ca="1" si="403"/>
        <v>#N/A</v>
      </c>
      <c r="AE894" s="324" t="e">
        <f t="shared" ca="1" si="382"/>
        <v>#N/A</v>
      </c>
      <c r="AG894" s="306">
        <f t="shared" ca="1" si="404"/>
        <v>1.6010031165869325</v>
      </c>
      <c r="AH894" s="304">
        <f t="shared" ca="1" si="405"/>
        <v>-8.1888421002952878</v>
      </c>
    </row>
    <row r="895" spans="1:34" x14ac:dyDescent="0.2">
      <c r="A895" s="347">
        <f t="shared" ca="1" si="383"/>
        <v>1E-4</v>
      </c>
      <c r="B895" s="304">
        <f t="shared" ca="1" si="384"/>
        <v>41.636100000001491</v>
      </c>
      <c r="D895" s="306">
        <f t="shared" ca="1" si="385"/>
        <v>-0.52464721716900464</v>
      </c>
      <c r="E895" s="307">
        <f t="shared" ca="1" si="386"/>
        <v>-1.6379514570150828</v>
      </c>
      <c r="F895" s="304">
        <f t="shared" ca="1" si="387"/>
        <v>1.7199243233412955</v>
      </c>
      <c r="G895" s="306">
        <f t="shared" ca="1" si="388"/>
        <v>8.7551271819456815</v>
      </c>
      <c r="H895" s="307">
        <f t="shared" ca="1" si="389"/>
        <v>-136.37323646899122</v>
      </c>
      <c r="I895" s="304">
        <f t="shared" ca="1" si="390"/>
        <v>136.65398595357343</v>
      </c>
      <c r="J895" s="306">
        <f t="shared" ca="1" si="391"/>
        <v>712.18513894933824</v>
      </c>
      <c r="K895" s="307">
        <f t="shared" ca="1" si="392"/>
        <v>-11.61754193329709</v>
      </c>
      <c r="L895" s="304">
        <f t="shared" ca="1" si="377"/>
        <v>712.27988840122407</v>
      </c>
      <c r="M895" s="306">
        <f t="shared" ca="1" si="393"/>
        <v>-1.506684565075562</v>
      </c>
      <c r="N895" s="304">
        <f t="shared" ca="1" si="394"/>
        <v>-86.326666636333741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4.0843000000000034</v>
      </c>
      <c r="T895" s="304">
        <f t="shared" ca="1" si="378"/>
        <v>40.066983000000036</v>
      </c>
      <c r="U895" s="311">
        <f t="shared" ca="1" si="379"/>
        <v>0</v>
      </c>
      <c r="V895" s="306">
        <f t="shared" ca="1" si="380"/>
        <v>1.226423976041898</v>
      </c>
      <c r="W895" s="304">
        <f t="shared" ca="1" si="381"/>
        <v>33.445935748182698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1.6009730505199613</v>
      </c>
      <c r="AH895" s="304">
        <f t="shared" ca="1" si="405"/>
        <v>-8.1888724554351864</v>
      </c>
    </row>
    <row r="896" spans="1:34" x14ac:dyDescent="0.2">
      <c r="A896" s="347">
        <f t="shared" ca="1" si="383"/>
        <v>1E-4</v>
      </c>
      <c r="B896" s="304">
        <f t="shared" ca="1" si="384"/>
        <v>41.636200000001494</v>
      </c>
      <c r="D896" s="306">
        <f t="shared" ca="1" si="385"/>
        <v>-0.52464540338608068</v>
      </c>
      <c r="E896" s="307">
        <f t="shared" ca="1" si="386"/>
        <v>-1.6379209231956562</v>
      </c>
      <c r="F896" s="304">
        <f t="shared" ca="1" si="387"/>
        <v>1.7198946915251103</v>
      </c>
      <c r="G896" s="306">
        <f t="shared" ca="1" si="388"/>
        <v>8.7550747174053427</v>
      </c>
      <c r="H896" s="307">
        <f t="shared" ca="1" si="389"/>
        <v>-136.37340026108353</v>
      </c>
      <c r="I896" s="304">
        <f t="shared" ca="1" si="390"/>
        <v>136.65414604788634</v>
      </c>
      <c r="J896" s="306">
        <f t="shared" ca="1" si="391"/>
        <v>712.18513894933824</v>
      </c>
      <c r="K896" s="307">
        <f t="shared" ca="1" si="392"/>
        <v>-11.631179265133595</v>
      </c>
      <c r="L896" s="304">
        <f t="shared" ca="1" si="377"/>
        <v>712.28011096154148</v>
      </c>
      <c r="M896" s="306">
        <f t="shared" ca="1" si="393"/>
        <v>-1.5066850249998558</v>
      </c>
      <c r="N896" s="304">
        <f t="shared" ca="1" si="394"/>
        <v>-86.32669298805466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4.0843000000000034</v>
      </c>
      <c r="T896" s="304">
        <f t="shared" ca="1" si="378"/>
        <v>40.066983000000036</v>
      </c>
      <c r="U896" s="311">
        <f t="shared" ca="1" si="379"/>
        <v>0</v>
      </c>
      <c r="V896" s="306">
        <f t="shared" ca="1" si="380"/>
        <v>1.2264256485586766</v>
      </c>
      <c r="W896" s="304">
        <f t="shared" ca="1" si="381"/>
        <v>33.44605972558228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1.6009429847053838</v>
      </c>
      <c r="AH896" s="304">
        <f t="shared" ca="1" si="405"/>
        <v>-8.1889028103182113</v>
      </c>
    </row>
    <row r="897" spans="1:34" x14ac:dyDescent="0.2">
      <c r="A897" s="347">
        <f t="shared" ca="1" si="383"/>
        <v>1E-4</v>
      </c>
      <c r="B897" s="304">
        <f t="shared" ca="1" si="384"/>
        <v>41.636300000001498</v>
      </c>
      <c r="D897" s="306">
        <f t="shared" ca="1" si="385"/>
        <v>-0.52464358959005397</v>
      </c>
      <c r="E897" s="307">
        <f t="shared" ca="1" si="386"/>
        <v>-1.6378903896345278</v>
      </c>
      <c r="F897" s="304">
        <f t="shared" ca="1" si="387"/>
        <v>1.7198650599843821</v>
      </c>
      <c r="G897" s="306">
        <f t="shared" ca="1" si="388"/>
        <v>8.7550222530463842</v>
      </c>
      <c r="H897" s="307">
        <f t="shared" ca="1" si="389"/>
        <v>-136.3735640501225</v>
      </c>
      <c r="I897" s="304">
        <f t="shared" ca="1" si="390"/>
        <v>136.6543061391927</v>
      </c>
      <c r="J897" s="306">
        <f t="shared" ca="1" si="391"/>
        <v>712.18513894933824</v>
      </c>
      <c r="K897" s="307">
        <f t="shared" ca="1" si="392"/>
        <v>-11.644816613349155</v>
      </c>
      <c r="L897" s="304">
        <f t="shared" ca="1" si="377"/>
        <v>712.28033378315786</v>
      </c>
      <c r="M897" s="306">
        <f t="shared" ca="1" si="393"/>
        <v>-1.506685484920316</v>
      </c>
      <c r="N897" s="304">
        <f t="shared" ca="1" si="394"/>
        <v>-86.32671933955595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4.0843000000000034</v>
      </c>
      <c r="T897" s="304">
        <f t="shared" ca="1" si="378"/>
        <v>40.066983000000036</v>
      </c>
      <c r="U897" s="311">
        <f t="shared" ca="1" si="379"/>
        <v>0</v>
      </c>
      <c r="V897" s="306">
        <f t="shared" ca="1" si="380"/>
        <v>1.2264273210797465</v>
      </c>
      <c r="W897" s="304">
        <f t="shared" ca="1" si="381"/>
        <v>33.446183701932732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1.6009129191431981</v>
      </c>
      <c r="AH897" s="304">
        <f t="shared" ca="1" si="405"/>
        <v>-8.1889331649443609</v>
      </c>
    </row>
    <row r="898" spans="1:34" x14ac:dyDescent="0.2">
      <c r="A898" s="347">
        <f t="shared" ca="1" si="383"/>
        <v>1E-4</v>
      </c>
      <c r="B898" s="304">
        <f t="shared" ca="1" si="384"/>
        <v>41.636400000001501</v>
      </c>
      <c r="D898" s="306">
        <f t="shared" ca="1" si="385"/>
        <v>-0.52464177578092397</v>
      </c>
      <c r="E898" s="307">
        <f t="shared" ca="1" si="386"/>
        <v>-1.6378598563316924</v>
      </c>
      <c r="F898" s="304">
        <f t="shared" ca="1" si="387"/>
        <v>1.7198354287191067</v>
      </c>
      <c r="G898" s="306">
        <f t="shared" ca="1" si="388"/>
        <v>8.7549697888688058</v>
      </c>
      <c r="H898" s="307">
        <f t="shared" ca="1" si="389"/>
        <v>-136.37372783610812</v>
      </c>
      <c r="I898" s="304">
        <f t="shared" ca="1" si="390"/>
        <v>136.65446622749255</v>
      </c>
      <c r="J898" s="306">
        <f t="shared" ca="1" si="391"/>
        <v>712.18513894933824</v>
      </c>
      <c r="K898" s="307">
        <f t="shared" ca="1" si="392"/>
        <v>-11.658453977943466</v>
      </c>
      <c r="L898" s="304">
        <f t="shared" ca="1" si="377"/>
        <v>712.28055686607365</v>
      </c>
      <c r="M898" s="306">
        <f t="shared" ca="1" si="393"/>
        <v>-1.5066859448369425</v>
      </c>
      <c r="N898" s="304">
        <f t="shared" ca="1" si="394"/>
        <v>-86.326745690837569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4.0843000000000034</v>
      </c>
      <c r="T898" s="304">
        <f t="shared" ca="1" si="378"/>
        <v>40.066983000000036</v>
      </c>
      <c r="U898" s="311">
        <f t="shared" ca="1" si="379"/>
        <v>0</v>
      </c>
      <c r="V898" s="306">
        <f t="shared" ca="1" si="380"/>
        <v>1.2264289936051072</v>
      </c>
      <c r="W898" s="304">
        <f t="shared" ca="1" si="381"/>
        <v>33.446307677234053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1.6008828538334043</v>
      </c>
      <c r="AH898" s="304">
        <f t="shared" ca="1" si="405"/>
        <v>-8.1889635193136403</v>
      </c>
    </row>
    <row r="899" spans="1:34" x14ac:dyDescent="0.2">
      <c r="A899" s="347">
        <f t="shared" ca="1" si="383"/>
        <v>1E-4</v>
      </c>
      <c r="B899" s="304">
        <f t="shared" ca="1" si="384"/>
        <v>41.636500000001504</v>
      </c>
      <c r="D899" s="306">
        <f t="shared" ca="1" si="385"/>
        <v>-0.52463996195869123</v>
      </c>
      <c r="E899" s="307">
        <f t="shared" ca="1" si="386"/>
        <v>-1.6378293232871499</v>
      </c>
      <c r="F899" s="304">
        <f t="shared" ca="1" si="387"/>
        <v>1.7198057977292844</v>
      </c>
      <c r="G899" s="306">
        <f t="shared" ca="1" si="388"/>
        <v>8.7549173248726095</v>
      </c>
      <c r="H899" s="307">
        <f t="shared" ca="1" si="389"/>
        <v>-136.37389161904045</v>
      </c>
      <c r="I899" s="304">
        <f t="shared" ca="1" si="390"/>
        <v>136.65462631278587</v>
      </c>
      <c r="J899" s="306">
        <f t="shared" ca="1" si="391"/>
        <v>712.18513894933824</v>
      </c>
      <c r="K899" s="307">
        <f t="shared" ca="1" si="392"/>
        <v>-11.672091358916223</v>
      </c>
      <c r="L899" s="304">
        <f t="shared" ca="1" si="377"/>
        <v>712.28078021028978</v>
      </c>
      <c r="M899" s="306">
        <f t="shared" ca="1" si="393"/>
        <v>-1.5066864047497355</v>
      </c>
      <c r="N899" s="304">
        <f t="shared" ca="1" si="394"/>
        <v>-86.326772041899559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4.0843000000000034</v>
      </c>
      <c r="T899" s="304">
        <f t="shared" ca="1" si="378"/>
        <v>40.066983000000036</v>
      </c>
      <c r="U899" s="311">
        <f t="shared" ca="1" si="379"/>
        <v>0</v>
      </c>
      <c r="V899" s="306">
        <f t="shared" ca="1" si="380"/>
        <v>1.2264306661347588</v>
      </c>
      <c r="W899" s="304">
        <f t="shared" ca="1" si="381"/>
        <v>33.446431651486208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1.6008527887760007</v>
      </c>
      <c r="AH899" s="304">
        <f t="shared" ca="1" si="405"/>
        <v>-8.1889938734260515</v>
      </c>
    </row>
    <row r="900" spans="1:34" x14ac:dyDescent="0.2">
      <c r="A900" s="347">
        <f t="shared" ca="1" si="383"/>
        <v>1E-4</v>
      </c>
      <c r="B900" s="304">
        <f t="shared" ca="1" si="384"/>
        <v>41.636600000001508</v>
      </c>
      <c r="D900" s="306">
        <f t="shared" ca="1" si="385"/>
        <v>-0.52463814812335596</v>
      </c>
      <c r="E900" s="307">
        <f t="shared" ca="1" si="386"/>
        <v>-1.6377987905009057</v>
      </c>
      <c r="F900" s="304">
        <f t="shared" ca="1" si="387"/>
        <v>1.7197761670149212</v>
      </c>
      <c r="G900" s="306">
        <f t="shared" ca="1" si="388"/>
        <v>8.754864861057797</v>
      </c>
      <c r="H900" s="307">
        <f t="shared" ca="1" si="389"/>
        <v>-136.3740553989195</v>
      </c>
      <c r="I900" s="304">
        <f t="shared" ca="1" si="390"/>
        <v>136.6547863950727</v>
      </c>
      <c r="J900" s="306">
        <f t="shared" ca="1" si="391"/>
        <v>712.18513894933824</v>
      </c>
      <c r="K900" s="307">
        <f t="shared" ca="1" si="392"/>
        <v>-11.685728756267121</v>
      </c>
      <c r="L900" s="304">
        <f t="shared" ref="L900:L963" ca="1" si="406">SQRT(pos_x^2+pos_z^2)</f>
        <v>712.28100381580668</v>
      </c>
      <c r="M900" s="306">
        <f t="shared" ca="1" si="393"/>
        <v>-1.5066868646586951</v>
      </c>
      <c r="N900" s="304">
        <f t="shared" ca="1" si="394"/>
        <v>-86.326798392741892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4.0843000000000034</v>
      </c>
      <c r="T900" s="304">
        <f t="shared" ref="T900:T963" ca="1" si="407">m*g</f>
        <v>40.066983000000036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1.2264323386687013</v>
      </c>
      <c r="W900" s="304">
        <f t="shared" ref="W900:W963" ca="1" si="410">1/2*Rho*Sref*Cx*vit_xz^2</f>
        <v>33.446555624689232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1.6008227239709925</v>
      </c>
      <c r="AH900" s="304">
        <f t="shared" ca="1" si="405"/>
        <v>-8.1890242272815854</v>
      </c>
    </row>
    <row r="901" spans="1:34" x14ac:dyDescent="0.2">
      <c r="A901" s="347">
        <f t="shared" ref="A901:A964" ca="1" si="412">IF(B900+0.01&lt;=T_ini+ROUNDUP(Temps_fin_propu,0), 0.01, IF(K900&gt;0, 0.1, 0.0001))</f>
        <v>1E-4</v>
      </c>
      <c r="B901" s="304">
        <f t="shared" ref="B901:B964" ca="1" si="413">B900+pas</f>
        <v>41.636700000001511</v>
      </c>
      <c r="D901" s="306">
        <f t="shared" ref="D901:D964" ca="1" si="414">IF(AND(L900&lt;L_rampe,Poussee&lt;Poids*SIN(M900)),0,(-W900+Poussee)/m*COS(M900)-U900/m*SIN(M900))</f>
        <v>-0.52463633427491763</v>
      </c>
      <c r="E901" s="307">
        <f t="shared" ref="E901:E964" ca="1" si="415">IF(AND(L900&lt;L_rampe,Poussee&lt;Poids*SIN(M900)),0,(-W900+Poussee)/m*SIN(M900)+U900/m*COS(M900)-Poids/m)</f>
        <v>-1.6377682579729562</v>
      </c>
      <c r="F901" s="304">
        <f t="shared" ref="F901:F964" ca="1" si="416">SQRT(acc_x^2+acc_z^2)</f>
        <v>1.7197465365760138</v>
      </c>
      <c r="G901" s="306">
        <f t="shared" ref="G901:G964" ca="1" si="417">G900+acc_x*pas</f>
        <v>8.7548123974243701</v>
      </c>
      <c r="H901" s="307">
        <f t="shared" ref="H901:H964" ca="1" si="418">H900+acc_z*pas</f>
        <v>-136.37421917574528</v>
      </c>
      <c r="I901" s="304">
        <f t="shared" ref="I901:I964" ca="1" si="419">SQRT(vit_x^2+vit_z^2)</f>
        <v>136.65494647435307</v>
      </c>
      <c r="J901" s="306">
        <f t="shared" ref="J901:J964" ca="1" si="420">J900+0.5*(vit_x+G900)*pas*(K900&gt;=0)</f>
        <v>712.18513894933824</v>
      </c>
      <c r="K901" s="307">
        <f t="shared" ref="K901:K964" ca="1" si="421">K900+0.5*(vit_z+H900)*pas</f>
        <v>-11.699366169995855</v>
      </c>
      <c r="L901" s="304">
        <f t="shared" ca="1" si="406"/>
        <v>712.28122768262529</v>
      </c>
      <c r="M901" s="306">
        <f t="shared" ref="M901:M964" ca="1" si="422">IF(AND(L900&gt;L_rampe,G901&gt;0),ATAN2(G901,H901),$M$4)</f>
        <v>-1.506687324563821</v>
      </c>
      <c r="N901" s="304">
        <f t="shared" ref="N901:N964" ca="1" si="423">DEGREES(Beta)</f>
        <v>-86.326824743364597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4.0843000000000034</v>
      </c>
      <c r="T901" s="304">
        <f t="shared" ca="1" si="407"/>
        <v>40.066983000000036</v>
      </c>
      <c r="U901" s="311">
        <f t="shared" ca="1" si="408"/>
        <v>0</v>
      </c>
      <c r="V901" s="306">
        <f t="shared" ca="1" si="409"/>
        <v>1.2264340112069347</v>
      </c>
      <c r="W901" s="304">
        <f t="shared" ca="1" si="410"/>
        <v>33.446679596843119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1.6007926594183743</v>
      </c>
      <c r="AH901" s="304">
        <f t="shared" ref="AH901:AH964" ca="1" si="434">IF(AND(L900&lt;L_rampe,Poussee&lt;Poids*SIN(M900)), g*SIN(M900), (-W900+Poussee)/m)</f>
        <v>-8.1890545808802493</v>
      </c>
    </row>
    <row r="902" spans="1:34" x14ac:dyDescent="0.2">
      <c r="A902" s="347">
        <f t="shared" ca="1" si="412"/>
        <v>1E-4</v>
      </c>
      <c r="B902" s="304">
        <f t="shared" ca="1" si="413"/>
        <v>41.636800000001514</v>
      </c>
      <c r="D902" s="306">
        <f t="shared" ca="1" si="414"/>
        <v>-0.52463452041337866</v>
      </c>
      <c r="E902" s="307">
        <f t="shared" ca="1" si="415"/>
        <v>-1.6377377257033015</v>
      </c>
      <c r="F902" s="304">
        <f t="shared" ca="1" si="416"/>
        <v>1.7197169064125637</v>
      </c>
      <c r="G902" s="306">
        <f t="shared" ca="1" si="417"/>
        <v>8.7547599339723288</v>
      </c>
      <c r="H902" s="307">
        <f t="shared" ca="1" si="418"/>
        <v>-136.37438294951787</v>
      </c>
      <c r="I902" s="304">
        <f t="shared" ca="1" si="419"/>
        <v>136.65510655062707</v>
      </c>
      <c r="J902" s="306">
        <f t="shared" ca="1" si="420"/>
        <v>712.18513894933824</v>
      </c>
      <c r="K902" s="307">
        <f t="shared" ca="1" si="421"/>
        <v>-11.713003600102118</v>
      </c>
      <c r="L902" s="304">
        <f t="shared" ca="1" si="406"/>
        <v>712.28145181074615</v>
      </c>
      <c r="M902" s="306">
        <f t="shared" ca="1" si="422"/>
        <v>-1.5066877844651134</v>
      </c>
      <c r="N902" s="304">
        <f t="shared" ca="1" si="423"/>
        <v>-86.326851093767644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4.0843000000000034</v>
      </c>
      <c r="T902" s="304">
        <f t="shared" ca="1" si="407"/>
        <v>40.066983000000036</v>
      </c>
      <c r="U902" s="311">
        <f t="shared" ca="1" si="408"/>
        <v>0</v>
      </c>
      <c r="V902" s="306">
        <f t="shared" ca="1" si="409"/>
        <v>1.226435683749459</v>
      </c>
      <c r="W902" s="304">
        <f t="shared" ca="1" si="410"/>
        <v>33.44680356794791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1.6007625951181446</v>
      </c>
      <c r="AH902" s="304">
        <f t="shared" ca="1" si="434"/>
        <v>-8.1890849342220431</v>
      </c>
    </row>
    <row r="903" spans="1:34" x14ac:dyDescent="0.2">
      <c r="A903" s="347">
        <f t="shared" ca="1" si="412"/>
        <v>1E-4</v>
      </c>
      <c r="B903" s="304">
        <f t="shared" ca="1" si="413"/>
        <v>41.636900000001518</v>
      </c>
      <c r="D903" s="306">
        <f t="shared" ca="1" si="414"/>
        <v>-0.5246327065387405</v>
      </c>
      <c r="E903" s="307">
        <f t="shared" ca="1" si="415"/>
        <v>-1.637707193691929</v>
      </c>
      <c r="F903" s="304">
        <f t="shared" ca="1" si="416"/>
        <v>1.7196872765245597</v>
      </c>
      <c r="G903" s="306">
        <f t="shared" ca="1" si="417"/>
        <v>8.7547074707016748</v>
      </c>
      <c r="H903" s="307">
        <f t="shared" ca="1" si="418"/>
        <v>-136.37454672023725</v>
      </c>
      <c r="I903" s="304">
        <f t="shared" ca="1" si="419"/>
        <v>136.65526662389465</v>
      </c>
      <c r="J903" s="306">
        <f t="shared" ca="1" si="420"/>
        <v>712.18513894933824</v>
      </c>
      <c r="K903" s="307">
        <f t="shared" ca="1" si="421"/>
        <v>-11.726641046585605</v>
      </c>
      <c r="L903" s="304">
        <f t="shared" ca="1" si="406"/>
        <v>712.28167620016984</v>
      </c>
      <c r="M903" s="306">
        <f t="shared" ca="1" si="422"/>
        <v>-1.5066882443625726</v>
      </c>
      <c r="N903" s="304">
        <f t="shared" ca="1" si="423"/>
        <v>-86.326877443951062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4.0843000000000034</v>
      </c>
      <c r="T903" s="304">
        <f t="shared" ca="1" si="407"/>
        <v>40.066983000000036</v>
      </c>
      <c r="U903" s="311">
        <f t="shared" ca="1" si="408"/>
        <v>0</v>
      </c>
      <c r="V903" s="306">
        <f t="shared" ca="1" si="409"/>
        <v>1.226437356296274</v>
      </c>
      <c r="W903" s="304">
        <f t="shared" ca="1" si="410"/>
        <v>33.44692753800355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1.6007325310702996</v>
      </c>
      <c r="AH903" s="304">
        <f t="shared" ca="1" si="434"/>
        <v>-8.1891152873069757</v>
      </c>
    </row>
    <row r="904" spans="1:34" x14ac:dyDescent="0.2">
      <c r="A904" s="347">
        <f t="shared" ca="1" si="412"/>
        <v>1E-4</v>
      </c>
      <c r="B904" s="304">
        <f t="shared" ca="1" si="413"/>
        <v>41.637000000001521</v>
      </c>
      <c r="D904" s="306">
        <f t="shared" ca="1" si="414"/>
        <v>-0.52463089265099905</v>
      </c>
      <c r="E904" s="307">
        <f t="shared" ca="1" si="415"/>
        <v>-1.6376766619388547</v>
      </c>
      <c r="F904" s="304">
        <f t="shared" ca="1" si="416"/>
        <v>1.7196576469120166</v>
      </c>
      <c r="G904" s="306">
        <f t="shared" ca="1" si="417"/>
        <v>8.7546550076124099</v>
      </c>
      <c r="H904" s="307">
        <f t="shared" ca="1" si="418"/>
        <v>-136.37471048790343</v>
      </c>
      <c r="I904" s="304">
        <f t="shared" ca="1" si="419"/>
        <v>136.65542669415581</v>
      </c>
      <c r="J904" s="306">
        <f t="shared" ca="1" si="420"/>
        <v>712.18513894933824</v>
      </c>
      <c r="K904" s="307">
        <f t="shared" ca="1" si="421"/>
        <v>-11.740278509446012</v>
      </c>
      <c r="L904" s="304">
        <f t="shared" ca="1" si="406"/>
        <v>712.28190085089739</v>
      </c>
      <c r="M904" s="306">
        <f t="shared" ca="1" si="422"/>
        <v>-1.5066887042561983</v>
      </c>
      <c r="N904" s="304">
        <f t="shared" ca="1" si="423"/>
        <v>-86.326903793914838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4.0843000000000034</v>
      </c>
      <c r="T904" s="304">
        <f t="shared" ca="1" si="407"/>
        <v>40.066983000000036</v>
      </c>
      <c r="U904" s="311">
        <f t="shared" ca="1" si="408"/>
        <v>0</v>
      </c>
      <c r="V904" s="306">
        <f t="shared" ca="1" si="409"/>
        <v>1.2264390288473797</v>
      </c>
      <c r="W904" s="304">
        <f t="shared" ca="1" si="410"/>
        <v>33.44705150701003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 t="e">
        <f t="shared" ca="1" si="431"/>
        <v>#N/A</v>
      </c>
      <c r="AD904" s="323" t="e">
        <f t="shared" ca="1" si="432"/>
        <v>#N/A</v>
      </c>
      <c r="AE904" s="324" t="e">
        <f t="shared" ca="1" si="411"/>
        <v>#N/A</v>
      </c>
      <c r="AG904" s="306">
        <f t="shared" ca="1" si="433"/>
        <v>1.6007024672748447</v>
      </c>
      <c r="AH904" s="304">
        <f t="shared" ca="1" si="434"/>
        <v>-8.1891456401350347</v>
      </c>
    </row>
    <row r="905" spans="1:34" x14ac:dyDescent="0.2">
      <c r="A905" s="347">
        <f t="shared" ca="1" si="412"/>
        <v>1E-4</v>
      </c>
      <c r="B905" s="304">
        <f t="shared" ca="1" si="413"/>
        <v>41.637100000001524</v>
      </c>
      <c r="D905" s="306">
        <f t="shared" ca="1" si="414"/>
        <v>-0.52462907875015874</v>
      </c>
      <c r="E905" s="307">
        <f t="shared" ca="1" si="415"/>
        <v>-1.6376461304440806</v>
      </c>
      <c r="F905" s="304">
        <f t="shared" ca="1" si="416"/>
        <v>1.7196280175749379</v>
      </c>
      <c r="G905" s="306">
        <f t="shared" ca="1" si="417"/>
        <v>8.7546025447045341</v>
      </c>
      <c r="H905" s="307">
        <f t="shared" ca="1" si="418"/>
        <v>-136.37487425251646</v>
      </c>
      <c r="I905" s="304">
        <f t="shared" ca="1" si="419"/>
        <v>136.6555867614106</v>
      </c>
      <c r="J905" s="306">
        <f t="shared" ca="1" si="420"/>
        <v>712.18513894933824</v>
      </c>
      <c r="K905" s="307">
        <f t="shared" ca="1" si="421"/>
        <v>-11.753915988683033</v>
      </c>
      <c r="L905" s="304">
        <f t="shared" ca="1" si="406"/>
        <v>712.28212576292913</v>
      </c>
      <c r="M905" s="306">
        <f t="shared" ca="1" si="422"/>
        <v>-1.5066891641459907</v>
      </c>
      <c r="N905" s="304">
        <f t="shared" ca="1" si="423"/>
        <v>-86.326930143658984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4.0843000000000034</v>
      </c>
      <c r="T905" s="304">
        <f t="shared" ca="1" si="407"/>
        <v>40.066983000000036</v>
      </c>
      <c r="U905" s="311">
        <f t="shared" ca="1" si="408"/>
        <v>0</v>
      </c>
      <c r="V905" s="306">
        <f t="shared" ca="1" si="409"/>
        <v>1.2264407014027765</v>
      </c>
      <c r="W905" s="304">
        <f t="shared" ca="1" si="410"/>
        <v>33.447175474967395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1.6006724037317905</v>
      </c>
      <c r="AH905" s="304">
        <f t="shared" ca="1" si="434"/>
        <v>-8.1891759927062164</v>
      </c>
    </row>
    <row r="906" spans="1:34" x14ac:dyDescent="0.2">
      <c r="A906" s="347">
        <f t="shared" ca="1" si="412"/>
        <v>1E-4</v>
      </c>
      <c r="B906" s="304">
        <f t="shared" ca="1" si="413"/>
        <v>41.637200000001528</v>
      </c>
      <c r="D906" s="306">
        <f t="shared" ca="1" si="414"/>
        <v>-0.52462726483621736</v>
      </c>
      <c r="E906" s="307">
        <f t="shared" ca="1" si="415"/>
        <v>-1.6376155992075958</v>
      </c>
      <c r="F906" s="304">
        <f t="shared" ca="1" si="416"/>
        <v>1.7195983885133133</v>
      </c>
      <c r="G906" s="306">
        <f t="shared" ca="1" si="417"/>
        <v>8.7545500819780511</v>
      </c>
      <c r="H906" s="307">
        <f t="shared" ca="1" si="418"/>
        <v>-136.37503801407638</v>
      </c>
      <c r="I906" s="304">
        <f t="shared" ca="1" si="419"/>
        <v>136.65574682565912</v>
      </c>
      <c r="J906" s="306">
        <f t="shared" ca="1" si="420"/>
        <v>712.18513894933824</v>
      </c>
      <c r="K906" s="307">
        <f t="shared" ca="1" si="421"/>
        <v>-11.767553484296362</v>
      </c>
      <c r="L906" s="304">
        <f t="shared" ca="1" si="406"/>
        <v>712.28235093626597</v>
      </c>
      <c r="M906" s="306">
        <f t="shared" ca="1" si="422"/>
        <v>-1.5066896240319498</v>
      </c>
      <c r="N906" s="304">
        <f t="shared" ca="1" si="423"/>
        <v>-86.326956493183502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4.0843000000000034</v>
      </c>
      <c r="T906" s="304">
        <f t="shared" ca="1" si="407"/>
        <v>40.066983000000036</v>
      </c>
      <c r="U906" s="311">
        <f t="shared" ca="1" si="408"/>
        <v>0</v>
      </c>
      <c r="V906" s="306">
        <f t="shared" ca="1" si="409"/>
        <v>1.2264423739624639</v>
      </c>
      <c r="W906" s="304">
        <f t="shared" ca="1" si="410"/>
        <v>33.447299441875657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1.6006423404411194</v>
      </c>
      <c r="AH906" s="304">
        <f t="shared" ca="1" si="434"/>
        <v>-8.1892063450205335</v>
      </c>
    </row>
    <row r="907" spans="1:34" x14ac:dyDescent="0.2">
      <c r="A907" s="347">
        <f t="shared" ca="1" si="412"/>
        <v>1E-4</v>
      </c>
      <c r="B907" s="304">
        <f t="shared" ca="1" si="413"/>
        <v>41.637300000001531</v>
      </c>
      <c r="D907" s="306">
        <f t="shared" ca="1" si="414"/>
        <v>-0.52462545090917756</v>
      </c>
      <c r="E907" s="307">
        <f t="shared" ca="1" si="415"/>
        <v>-1.6375850682293951</v>
      </c>
      <c r="F907" s="304">
        <f t="shared" ca="1" si="416"/>
        <v>1.719568759727139</v>
      </c>
      <c r="G907" s="306">
        <f t="shared" ca="1" si="417"/>
        <v>8.7544976194329607</v>
      </c>
      <c r="H907" s="307">
        <f t="shared" ca="1" si="418"/>
        <v>-136.37520177258321</v>
      </c>
      <c r="I907" s="304">
        <f t="shared" ca="1" si="419"/>
        <v>136.65590688690131</v>
      </c>
      <c r="J907" s="306">
        <f t="shared" ca="1" si="420"/>
        <v>712.18513894933824</v>
      </c>
      <c r="K907" s="307">
        <f t="shared" ca="1" si="421"/>
        <v>-11.781190996285696</v>
      </c>
      <c r="L907" s="304">
        <f t="shared" ca="1" si="406"/>
        <v>712.2825763709086</v>
      </c>
      <c r="M907" s="306">
        <f t="shared" ca="1" si="422"/>
        <v>-1.5066900839140758</v>
      </c>
      <c r="N907" s="304">
        <f t="shared" ca="1" si="423"/>
        <v>-86.326982842488391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4.0843000000000034</v>
      </c>
      <c r="T907" s="304">
        <f t="shared" ca="1" si="407"/>
        <v>40.066983000000036</v>
      </c>
      <c r="U907" s="311">
        <f t="shared" ca="1" si="408"/>
        <v>0</v>
      </c>
      <c r="V907" s="306">
        <f t="shared" ca="1" si="409"/>
        <v>1.2264440465264421</v>
      </c>
      <c r="W907" s="304">
        <f t="shared" ca="1" si="410"/>
        <v>33.447423407734782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1.6006122774028313</v>
      </c>
      <c r="AH907" s="304">
        <f t="shared" ca="1" si="434"/>
        <v>-8.1892366970779893</v>
      </c>
    </row>
    <row r="908" spans="1:34" x14ac:dyDescent="0.2">
      <c r="A908" s="347">
        <f t="shared" ca="1" si="412"/>
        <v>1E-4</v>
      </c>
      <c r="B908" s="304">
        <f t="shared" ca="1" si="413"/>
        <v>41.637400000001534</v>
      </c>
      <c r="D908" s="306">
        <f t="shared" ca="1" si="414"/>
        <v>-0.52462363696903769</v>
      </c>
      <c r="E908" s="307">
        <f t="shared" ca="1" si="415"/>
        <v>-1.6375545375094891</v>
      </c>
      <c r="F908" s="304">
        <f t="shared" ca="1" si="416"/>
        <v>1.7195391312164248</v>
      </c>
      <c r="G908" s="306">
        <f t="shared" ca="1" si="417"/>
        <v>8.754445157069263</v>
      </c>
      <c r="H908" s="307">
        <f t="shared" ca="1" si="418"/>
        <v>-136.37536552803695</v>
      </c>
      <c r="I908" s="304">
        <f t="shared" ca="1" si="419"/>
        <v>136.65606694513721</v>
      </c>
      <c r="J908" s="306">
        <f t="shared" ca="1" si="420"/>
        <v>712.18513894933824</v>
      </c>
      <c r="K908" s="307">
        <f t="shared" ca="1" si="421"/>
        <v>-11.794828524650727</v>
      </c>
      <c r="L908" s="304">
        <f t="shared" ca="1" si="406"/>
        <v>712.28280206685758</v>
      </c>
      <c r="M908" s="306">
        <f t="shared" ca="1" si="422"/>
        <v>-1.5066905437923686</v>
      </c>
      <c r="N908" s="304">
        <f t="shared" ca="1" si="423"/>
        <v>-86.327009191573651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4.0843000000000034</v>
      </c>
      <c r="T908" s="304">
        <f t="shared" ca="1" si="407"/>
        <v>40.066983000000036</v>
      </c>
      <c r="U908" s="311">
        <f t="shared" ca="1" si="408"/>
        <v>0</v>
      </c>
      <c r="V908" s="306">
        <f t="shared" ca="1" si="409"/>
        <v>1.2264457190947105</v>
      </c>
      <c r="W908" s="304">
        <f t="shared" ca="1" si="410"/>
        <v>33.447547372544761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1.6005822146169333</v>
      </c>
      <c r="AH908" s="304">
        <f t="shared" ca="1" si="434"/>
        <v>-8.1892670488785733</v>
      </c>
    </row>
    <row r="909" spans="1:34" x14ac:dyDescent="0.2">
      <c r="A909" s="347">
        <f t="shared" ca="1" si="412"/>
        <v>1E-4</v>
      </c>
      <c r="B909" s="304">
        <f t="shared" ca="1" si="413"/>
        <v>41.637500000001538</v>
      </c>
      <c r="D909" s="306">
        <f t="shared" ca="1" si="414"/>
        <v>-0.52462182301579829</v>
      </c>
      <c r="E909" s="307">
        <f t="shared" ca="1" si="415"/>
        <v>-1.6375240070478796</v>
      </c>
      <c r="F909" s="304">
        <f t="shared" ca="1" si="416"/>
        <v>1.7195095029811738</v>
      </c>
      <c r="G909" s="306">
        <f t="shared" ca="1" si="417"/>
        <v>8.7543926948869615</v>
      </c>
      <c r="H909" s="307">
        <f t="shared" ca="1" si="418"/>
        <v>-136.37552928043766</v>
      </c>
      <c r="I909" s="304">
        <f t="shared" ca="1" si="419"/>
        <v>136.65622700036687</v>
      </c>
      <c r="J909" s="306">
        <f t="shared" ca="1" si="420"/>
        <v>712.18513894933824</v>
      </c>
      <c r="K909" s="307">
        <f t="shared" ca="1" si="421"/>
        <v>-11.808466069391152</v>
      </c>
      <c r="L909" s="304">
        <f t="shared" ca="1" si="406"/>
        <v>712.28302802411361</v>
      </c>
      <c r="M909" s="306">
        <f t="shared" ca="1" si="422"/>
        <v>-1.5066910036668284</v>
      </c>
      <c r="N909" s="304">
        <f t="shared" ca="1" si="423"/>
        <v>-86.327035540439311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4.0843000000000034</v>
      </c>
      <c r="T909" s="304">
        <f t="shared" ca="1" si="407"/>
        <v>40.066983000000036</v>
      </c>
      <c r="U909" s="311">
        <f t="shared" ca="1" si="408"/>
        <v>0</v>
      </c>
      <c r="V909" s="306">
        <f t="shared" ca="1" si="409"/>
        <v>1.2264473916672698</v>
      </c>
      <c r="W909" s="304">
        <f t="shared" ca="1" si="410"/>
        <v>33.447671336305632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1.6005521520834325</v>
      </c>
      <c r="AH909" s="304">
        <f t="shared" ca="1" si="434"/>
        <v>-8.1892974004222836</v>
      </c>
    </row>
    <row r="910" spans="1:34" x14ac:dyDescent="0.2">
      <c r="A910" s="347">
        <f t="shared" ca="1" si="412"/>
        <v>1E-4</v>
      </c>
      <c r="B910" s="304">
        <f t="shared" ca="1" si="413"/>
        <v>41.637600000001541</v>
      </c>
      <c r="D910" s="306">
        <f t="shared" ca="1" si="414"/>
        <v>-0.52462000904945882</v>
      </c>
      <c r="E910" s="307">
        <f t="shared" ca="1" si="415"/>
        <v>-1.6374934768445559</v>
      </c>
      <c r="F910" s="304">
        <f t="shared" ca="1" si="416"/>
        <v>1.719479875021376</v>
      </c>
      <c r="G910" s="306">
        <f t="shared" ca="1" si="417"/>
        <v>8.7543402328860562</v>
      </c>
      <c r="H910" s="307">
        <f t="shared" ca="1" si="418"/>
        <v>-136.37569302978534</v>
      </c>
      <c r="I910" s="304">
        <f t="shared" ca="1" si="419"/>
        <v>136.6563870525903</v>
      </c>
      <c r="J910" s="306">
        <f t="shared" ca="1" si="420"/>
        <v>712.18513894933824</v>
      </c>
      <c r="K910" s="307">
        <f t="shared" ca="1" si="421"/>
        <v>-11.822103630506662</v>
      </c>
      <c r="L910" s="304">
        <f t="shared" ca="1" si="406"/>
        <v>712.28325424267746</v>
      </c>
      <c r="M910" s="306">
        <f t="shared" ca="1" si="422"/>
        <v>-1.5066914635374549</v>
      </c>
      <c r="N910" s="304">
        <f t="shared" ca="1" si="423"/>
        <v>-86.327061889085329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4.0843000000000034</v>
      </c>
      <c r="T910" s="304">
        <f t="shared" ca="1" si="407"/>
        <v>40.066983000000036</v>
      </c>
      <c r="U910" s="311">
        <f t="shared" ca="1" si="408"/>
        <v>0</v>
      </c>
      <c r="V910" s="306">
        <f t="shared" ca="1" si="409"/>
        <v>1.2264490642441204</v>
      </c>
      <c r="W910" s="304">
        <f t="shared" ca="1" si="410"/>
        <v>33.4477952990174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1.6005220898023147</v>
      </c>
      <c r="AH910" s="304">
        <f t="shared" ca="1" si="434"/>
        <v>-8.189327751709131</v>
      </c>
    </row>
    <row r="911" spans="1:34" x14ac:dyDescent="0.2">
      <c r="A911" s="347">
        <f t="shared" ca="1" si="412"/>
        <v>1E-4</v>
      </c>
      <c r="B911" s="304">
        <f t="shared" ca="1" si="413"/>
        <v>41.637700000001544</v>
      </c>
      <c r="D911" s="306">
        <f t="shared" ca="1" si="414"/>
        <v>-0.52461819507002394</v>
      </c>
      <c r="E911" s="307">
        <f t="shared" ca="1" si="415"/>
        <v>-1.6374629468995181</v>
      </c>
      <c r="F911" s="304">
        <f t="shared" ca="1" si="416"/>
        <v>1.719450247337033</v>
      </c>
      <c r="G911" s="306">
        <f t="shared" ca="1" si="417"/>
        <v>8.754287771066549</v>
      </c>
      <c r="H911" s="307">
        <f t="shared" ca="1" si="418"/>
        <v>-136.37585677608004</v>
      </c>
      <c r="I911" s="304">
        <f t="shared" ca="1" si="419"/>
        <v>136.65654710180755</v>
      </c>
      <c r="J911" s="306">
        <f t="shared" ca="1" si="420"/>
        <v>712.18513894933824</v>
      </c>
      <c r="K911" s="307">
        <f t="shared" ca="1" si="421"/>
        <v>-11.835741207996955</v>
      </c>
      <c r="L911" s="304">
        <f t="shared" ca="1" si="406"/>
        <v>712.28348072254971</v>
      </c>
      <c r="M911" s="306">
        <f t="shared" ca="1" si="422"/>
        <v>-1.5066919234042484</v>
      </c>
      <c r="N911" s="304">
        <f t="shared" ca="1" si="423"/>
        <v>-86.327088237511731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4.0843000000000034</v>
      </c>
      <c r="T911" s="304">
        <f t="shared" ca="1" si="407"/>
        <v>40.066983000000036</v>
      </c>
      <c r="U911" s="311">
        <f t="shared" ca="1" si="408"/>
        <v>0</v>
      </c>
      <c r="V911" s="306">
        <f t="shared" ca="1" si="409"/>
        <v>1.2264507368252608</v>
      </c>
      <c r="W911" s="304">
        <f t="shared" ca="1" si="410"/>
        <v>33.447919260680031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1.6004920277735781</v>
      </c>
      <c r="AH911" s="304">
        <f t="shared" ca="1" si="434"/>
        <v>-8.1893581027391171</v>
      </c>
    </row>
    <row r="912" spans="1:34" x14ac:dyDescent="0.2">
      <c r="A912" s="347">
        <f t="shared" ca="1" si="412"/>
        <v>1E-4</v>
      </c>
      <c r="B912" s="304">
        <f t="shared" ca="1" si="413"/>
        <v>41.637800000001548</v>
      </c>
      <c r="D912" s="306">
        <f t="shared" ca="1" si="414"/>
        <v>-0.52461638107748987</v>
      </c>
      <c r="E912" s="307">
        <f t="shared" ca="1" si="415"/>
        <v>-1.6374324172127768</v>
      </c>
      <c r="F912" s="304">
        <f t="shared" ca="1" si="416"/>
        <v>1.7194206199281545</v>
      </c>
      <c r="G912" s="306">
        <f t="shared" ca="1" si="417"/>
        <v>8.7542353094284415</v>
      </c>
      <c r="H912" s="307">
        <f t="shared" ca="1" si="418"/>
        <v>-136.37602051932177</v>
      </c>
      <c r="I912" s="304">
        <f t="shared" ca="1" si="419"/>
        <v>136.6567071480186</v>
      </c>
      <c r="J912" s="306">
        <f t="shared" ca="1" si="420"/>
        <v>712.18513894933824</v>
      </c>
      <c r="K912" s="307">
        <f t="shared" ca="1" si="421"/>
        <v>-11.849378801861725</v>
      </c>
      <c r="L912" s="304">
        <f t="shared" ca="1" si="406"/>
        <v>712.28370746373116</v>
      </c>
      <c r="M912" s="306">
        <f t="shared" ca="1" si="422"/>
        <v>-1.506692383267209</v>
      </c>
      <c r="N912" s="304">
        <f t="shared" ca="1" si="423"/>
        <v>-86.327114585718533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4.0843000000000034</v>
      </c>
      <c r="T912" s="304">
        <f t="shared" ca="1" si="407"/>
        <v>40.066983000000036</v>
      </c>
      <c r="U912" s="311">
        <f t="shared" ca="1" si="408"/>
        <v>0</v>
      </c>
      <c r="V912" s="306">
        <f t="shared" ca="1" si="409"/>
        <v>1.2264524094106921</v>
      </c>
      <c r="W912" s="304">
        <f t="shared" ca="1" si="410"/>
        <v>33.448043221293553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1.6004619659972334</v>
      </c>
      <c r="AH912" s="304">
        <f t="shared" ca="1" si="434"/>
        <v>-8.1893884535122314</v>
      </c>
    </row>
    <row r="913" spans="1:34" x14ac:dyDescent="0.2">
      <c r="A913" s="347">
        <f t="shared" ca="1" si="412"/>
        <v>1E-4</v>
      </c>
      <c r="B913" s="304">
        <f t="shared" ca="1" si="413"/>
        <v>41.637900000001551</v>
      </c>
      <c r="D913" s="306">
        <f t="shared" ca="1" si="414"/>
        <v>-0.52461456707185794</v>
      </c>
      <c r="E913" s="307">
        <f t="shared" ca="1" si="415"/>
        <v>-1.6374018877843213</v>
      </c>
      <c r="F913" s="304">
        <f t="shared" ca="1" si="416"/>
        <v>1.7193909927947313</v>
      </c>
      <c r="G913" s="306">
        <f t="shared" ca="1" si="417"/>
        <v>8.7541828479717338</v>
      </c>
      <c r="H913" s="307">
        <f t="shared" ca="1" si="418"/>
        <v>-136.37618425951055</v>
      </c>
      <c r="I913" s="304">
        <f t="shared" ca="1" si="419"/>
        <v>136.65686719122348</v>
      </c>
      <c r="J913" s="306">
        <f t="shared" ca="1" si="420"/>
        <v>712.18513894933824</v>
      </c>
      <c r="K913" s="307">
        <f t="shared" ca="1" si="421"/>
        <v>-11.863016412100666</v>
      </c>
      <c r="L913" s="304">
        <f t="shared" ca="1" si="406"/>
        <v>712.28393446622249</v>
      </c>
      <c r="M913" s="306">
        <f t="shared" ca="1" si="422"/>
        <v>-1.5066928431263367</v>
      </c>
      <c r="N913" s="304">
        <f t="shared" ca="1" si="423"/>
        <v>-86.327140933705721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4.0843000000000034</v>
      </c>
      <c r="T913" s="304">
        <f t="shared" ca="1" si="407"/>
        <v>40.066983000000036</v>
      </c>
      <c r="U913" s="311">
        <f t="shared" ca="1" si="408"/>
        <v>0</v>
      </c>
      <c r="V913" s="306">
        <f t="shared" ca="1" si="409"/>
        <v>1.2264540820004144</v>
      </c>
      <c r="W913" s="304">
        <f t="shared" ca="1" si="410"/>
        <v>33.448167180857958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1.6004319044732735</v>
      </c>
      <c r="AH913" s="304">
        <f t="shared" ca="1" si="434"/>
        <v>-8.189418804028481</v>
      </c>
    </row>
    <row r="914" spans="1:34" x14ac:dyDescent="0.2">
      <c r="A914" s="347">
        <f t="shared" ca="1" si="412"/>
        <v>1E-4</v>
      </c>
      <c r="B914" s="304">
        <f t="shared" ca="1" si="413"/>
        <v>41.638000000001554</v>
      </c>
      <c r="D914" s="306">
        <f t="shared" ca="1" si="414"/>
        <v>-0.5246127530531286</v>
      </c>
      <c r="E914" s="307">
        <f t="shared" ca="1" si="415"/>
        <v>-1.6373713586141552</v>
      </c>
      <c r="F914" s="304">
        <f t="shared" ca="1" si="416"/>
        <v>1.7193613659367677</v>
      </c>
      <c r="G914" s="306">
        <f t="shared" ca="1" si="417"/>
        <v>8.7541303866964277</v>
      </c>
      <c r="H914" s="307">
        <f t="shared" ca="1" si="418"/>
        <v>-136.37634799664642</v>
      </c>
      <c r="I914" s="304">
        <f t="shared" ca="1" si="419"/>
        <v>136.65702723142226</v>
      </c>
      <c r="J914" s="306">
        <f t="shared" ca="1" si="420"/>
        <v>712.18513894933824</v>
      </c>
      <c r="K914" s="307">
        <f t="shared" ca="1" si="421"/>
        <v>-11.876654038713474</v>
      </c>
      <c r="L914" s="304">
        <f t="shared" ca="1" si="406"/>
        <v>712.28416173002438</v>
      </c>
      <c r="M914" s="306">
        <f t="shared" ca="1" si="422"/>
        <v>-1.5066933029816314</v>
      </c>
      <c r="N914" s="304">
        <f t="shared" ca="1" si="423"/>
        <v>-86.327167281473294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4.0843000000000034</v>
      </c>
      <c r="T914" s="304">
        <f t="shared" ca="1" si="407"/>
        <v>40.066983000000036</v>
      </c>
      <c r="U914" s="311">
        <f t="shared" ca="1" si="408"/>
        <v>0</v>
      </c>
      <c r="V914" s="306">
        <f t="shared" ca="1" si="409"/>
        <v>1.2264557545944268</v>
      </c>
      <c r="W914" s="304">
        <f t="shared" ca="1" si="410"/>
        <v>33.448291139373246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 t="e">
        <f t="shared" ca="1" si="431"/>
        <v>#N/A</v>
      </c>
      <c r="AD914" s="323" t="e">
        <f t="shared" ca="1" si="432"/>
        <v>#N/A</v>
      </c>
      <c r="AE914" s="324" t="e">
        <f t="shared" ca="1" si="411"/>
        <v>#N/A</v>
      </c>
      <c r="AG914" s="306">
        <f t="shared" ca="1" si="433"/>
        <v>1.6004018432017002</v>
      </c>
      <c r="AH914" s="304">
        <f t="shared" ca="1" si="434"/>
        <v>-8.1894491542878658</v>
      </c>
    </row>
    <row r="915" spans="1:34" x14ac:dyDescent="0.2">
      <c r="A915" s="347">
        <f t="shared" ca="1" si="412"/>
        <v>1E-4</v>
      </c>
      <c r="B915" s="304">
        <f t="shared" ca="1" si="413"/>
        <v>41.638100000001558</v>
      </c>
      <c r="D915" s="306">
        <f t="shared" ca="1" si="414"/>
        <v>-0.52461093902130251</v>
      </c>
      <c r="E915" s="307">
        <f t="shared" ca="1" si="415"/>
        <v>-1.6373408297022785</v>
      </c>
      <c r="F915" s="304">
        <f t="shared" ca="1" si="416"/>
        <v>1.719331739354264</v>
      </c>
      <c r="G915" s="306">
        <f t="shared" ca="1" si="417"/>
        <v>8.754077925602525</v>
      </c>
      <c r="H915" s="307">
        <f t="shared" ca="1" si="418"/>
        <v>-136.37651173072939</v>
      </c>
      <c r="I915" s="304">
        <f t="shared" ca="1" si="419"/>
        <v>136.65718726861493</v>
      </c>
      <c r="J915" s="306">
        <f t="shared" ca="1" si="420"/>
        <v>712.18513894933824</v>
      </c>
      <c r="K915" s="307">
        <f t="shared" ca="1" si="421"/>
        <v>-11.890291681699843</v>
      </c>
      <c r="L915" s="304">
        <f t="shared" ca="1" si="406"/>
        <v>712.2843892551374</v>
      </c>
      <c r="M915" s="306">
        <f t="shared" ca="1" si="422"/>
        <v>-1.5066937628330934</v>
      </c>
      <c r="N915" s="304">
        <f t="shared" ca="1" si="423"/>
        <v>-86.327193629021266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4.0843000000000034</v>
      </c>
      <c r="T915" s="304">
        <f t="shared" ca="1" si="407"/>
        <v>40.066983000000036</v>
      </c>
      <c r="U915" s="311">
        <f t="shared" ca="1" si="408"/>
        <v>0</v>
      </c>
      <c r="V915" s="306">
        <f t="shared" ca="1" si="409"/>
        <v>1.2264574271927295</v>
      </c>
      <c r="W915" s="304">
        <f t="shared" ca="1" si="410"/>
        <v>33.448415096839426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1.600371782182517</v>
      </c>
      <c r="AH915" s="304">
        <f t="shared" ca="1" si="434"/>
        <v>-8.1894795042903841</v>
      </c>
    </row>
    <row r="916" spans="1:34" x14ac:dyDescent="0.2">
      <c r="A916" s="347">
        <f t="shared" ca="1" si="412"/>
        <v>1E-4</v>
      </c>
      <c r="B916" s="304">
        <f t="shared" ca="1" si="413"/>
        <v>41.638200000001561</v>
      </c>
      <c r="D916" s="306">
        <f t="shared" ca="1" si="414"/>
        <v>-0.52460912497637902</v>
      </c>
      <c r="E916" s="307">
        <f t="shared" ca="1" si="415"/>
        <v>-1.6373103010486876</v>
      </c>
      <c r="F916" s="304">
        <f t="shared" ca="1" si="416"/>
        <v>1.7193021130472173</v>
      </c>
      <c r="G916" s="306">
        <f t="shared" ca="1" si="417"/>
        <v>8.7540254646900273</v>
      </c>
      <c r="H916" s="307">
        <f t="shared" ca="1" si="418"/>
        <v>-136.3766754617595</v>
      </c>
      <c r="I916" s="304">
        <f t="shared" ca="1" si="419"/>
        <v>136.65734730280153</v>
      </c>
      <c r="J916" s="306">
        <f t="shared" ca="1" si="420"/>
        <v>712.18513894933824</v>
      </c>
      <c r="K916" s="307">
        <f t="shared" ca="1" si="421"/>
        <v>-11.903929341059467</v>
      </c>
      <c r="L916" s="304">
        <f t="shared" ca="1" si="406"/>
        <v>712.28461704156234</v>
      </c>
      <c r="M916" s="306">
        <f t="shared" ca="1" si="422"/>
        <v>-1.5066942226807225</v>
      </c>
      <c r="N916" s="304">
        <f t="shared" ca="1" si="423"/>
        <v>-86.327219976349639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4.0843000000000034</v>
      </c>
      <c r="T916" s="304">
        <f t="shared" ca="1" si="407"/>
        <v>40.066983000000036</v>
      </c>
      <c r="U916" s="311">
        <f t="shared" ca="1" si="408"/>
        <v>0</v>
      </c>
      <c r="V916" s="306">
        <f t="shared" ca="1" si="409"/>
        <v>1.2264590997953231</v>
      </c>
      <c r="W916" s="304">
        <f t="shared" ca="1" si="410"/>
        <v>33.448539053256489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1.6003417214157167</v>
      </c>
      <c r="AH916" s="304">
        <f t="shared" ca="1" si="434"/>
        <v>-8.1895098540360394</v>
      </c>
    </row>
    <row r="917" spans="1:34" x14ac:dyDescent="0.2">
      <c r="A917" s="347">
        <f t="shared" ca="1" si="412"/>
        <v>1E-4</v>
      </c>
      <c r="B917" s="304">
        <f t="shared" ca="1" si="413"/>
        <v>41.638300000001564</v>
      </c>
      <c r="D917" s="306">
        <f t="shared" ca="1" si="414"/>
        <v>-0.52460731091836033</v>
      </c>
      <c r="E917" s="307">
        <f t="shared" ca="1" si="415"/>
        <v>-1.6372797726533843</v>
      </c>
      <c r="F917" s="304">
        <f t="shared" ca="1" si="416"/>
        <v>1.7192724870156304</v>
      </c>
      <c r="G917" s="306">
        <f t="shared" ca="1" si="417"/>
        <v>8.7539730039589347</v>
      </c>
      <c r="H917" s="307">
        <f t="shared" ca="1" si="418"/>
        <v>-136.37683918973676</v>
      </c>
      <c r="I917" s="304">
        <f t="shared" ca="1" si="419"/>
        <v>136.65750733398207</v>
      </c>
      <c r="J917" s="306">
        <f t="shared" ca="1" si="420"/>
        <v>712.18513894933824</v>
      </c>
      <c r="K917" s="307">
        <f t="shared" ca="1" si="421"/>
        <v>-11.917567016792042</v>
      </c>
      <c r="L917" s="304">
        <f t="shared" ca="1" si="406"/>
        <v>712.28484508929989</v>
      </c>
      <c r="M917" s="306">
        <f t="shared" ca="1" si="422"/>
        <v>-1.5066946825245189</v>
      </c>
      <c r="N917" s="304">
        <f t="shared" ca="1" si="423"/>
        <v>-86.327246323458397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4.0843000000000034</v>
      </c>
      <c r="T917" s="304">
        <f t="shared" ca="1" si="407"/>
        <v>40.066983000000036</v>
      </c>
      <c r="U917" s="311">
        <f t="shared" ca="1" si="408"/>
        <v>0</v>
      </c>
      <c r="V917" s="306">
        <f t="shared" ca="1" si="409"/>
        <v>1.2264607724022074</v>
      </c>
      <c r="W917" s="304">
        <f t="shared" ca="1" si="410"/>
        <v>33.448663008624457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1.6003116609012995</v>
      </c>
      <c r="AH917" s="304">
        <f t="shared" ca="1" si="434"/>
        <v>-8.1895402035248299</v>
      </c>
    </row>
    <row r="918" spans="1:34" x14ac:dyDescent="0.2">
      <c r="A918" s="347">
        <f t="shared" ca="1" si="412"/>
        <v>1E-4</v>
      </c>
      <c r="B918" s="304">
        <f t="shared" ca="1" si="413"/>
        <v>41.638400000001567</v>
      </c>
      <c r="D918" s="306">
        <f t="shared" ca="1" si="414"/>
        <v>-0.52460549684724556</v>
      </c>
      <c r="E918" s="307">
        <f t="shared" ca="1" si="415"/>
        <v>-1.6372492445163669</v>
      </c>
      <c r="F918" s="304">
        <f t="shared" ca="1" si="416"/>
        <v>1.7192428612595021</v>
      </c>
      <c r="G918" s="306">
        <f t="shared" ca="1" si="417"/>
        <v>8.7539205434092509</v>
      </c>
      <c r="H918" s="307">
        <f t="shared" ca="1" si="418"/>
        <v>-136.3770029146612</v>
      </c>
      <c r="I918" s="304">
        <f t="shared" ca="1" si="419"/>
        <v>136.65766736215656</v>
      </c>
      <c r="J918" s="306">
        <f t="shared" ca="1" si="420"/>
        <v>712.18513894933824</v>
      </c>
      <c r="K918" s="307">
        <f t="shared" ca="1" si="421"/>
        <v>-11.931204708897262</v>
      </c>
      <c r="L918" s="304">
        <f t="shared" ca="1" si="406"/>
        <v>712.28507339835073</v>
      </c>
      <c r="M918" s="306">
        <f t="shared" ca="1" si="422"/>
        <v>-1.5066951423644825</v>
      </c>
      <c r="N918" s="304">
        <f t="shared" ca="1" si="423"/>
        <v>-86.327272670347568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4.0843000000000034</v>
      </c>
      <c r="T918" s="304">
        <f t="shared" ca="1" si="407"/>
        <v>40.066983000000036</v>
      </c>
      <c r="U918" s="311">
        <f t="shared" ca="1" si="408"/>
        <v>0</v>
      </c>
      <c r="V918" s="306">
        <f t="shared" ca="1" si="409"/>
        <v>1.2264624450133814</v>
      </c>
      <c r="W918" s="304">
        <f t="shared" ca="1" si="410"/>
        <v>33.448786962943288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1.6002816006392671</v>
      </c>
      <c r="AH918" s="304">
        <f t="shared" ca="1" si="434"/>
        <v>-8.1895705527567593</v>
      </c>
    </row>
    <row r="919" spans="1:34" x14ac:dyDescent="0.2">
      <c r="A919" s="347">
        <f t="shared" ca="1" si="412"/>
        <v>1E-4</v>
      </c>
      <c r="B919" s="304">
        <f t="shared" ca="1" si="413"/>
        <v>41.638500000001571</v>
      </c>
      <c r="D919" s="306">
        <f t="shared" ca="1" si="414"/>
        <v>-0.52460368276303482</v>
      </c>
      <c r="E919" s="307">
        <f t="shared" ca="1" si="415"/>
        <v>-1.6372187166376442</v>
      </c>
      <c r="F919" s="304">
        <f t="shared" ca="1" si="416"/>
        <v>1.7192132357788412</v>
      </c>
      <c r="G919" s="306">
        <f t="shared" ca="1" si="417"/>
        <v>8.7538680830409739</v>
      </c>
      <c r="H919" s="307">
        <f t="shared" ca="1" si="418"/>
        <v>-136.37716663653288</v>
      </c>
      <c r="I919" s="304">
        <f t="shared" ca="1" si="419"/>
        <v>136.65782738732509</v>
      </c>
      <c r="J919" s="306">
        <f t="shared" ca="1" si="420"/>
        <v>712.18513894933824</v>
      </c>
      <c r="K919" s="307">
        <f t="shared" ca="1" si="421"/>
        <v>-11.944842417374822</v>
      </c>
      <c r="L919" s="304">
        <f t="shared" ca="1" si="406"/>
        <v>712.28530196871543</v>
      </c>
      <c r="M919" s="306">
        <f t="shared" ca="1" si="422"/>
        <v>-1.5066956022006137</v>
      </c>
      <c r="N919" s="304">
        <f t="shared" ca="1" si="423"/>
        <v>-86.327299017017154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4.0843000000000034</v>
      </c>
      <c r="T919" s="304">
        <f t="shared" ca="1" si="407"/>
        <v>40.066983000000036</v>
      </c>
      <c r="U919" s="311">
        <f t="shared" ca="1" si="408"/>
        <v>0</v>
      </c>
      <c r="V919" s="306">
        <f t="shared" ca="1" si="409"/>
        <v>1.2264641176288464</v>
      </c>
      <c r="W919" s="304">
        <f t="shared" ca="1" si="410"/>
        <v>33.448910916213052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1.6002515406296283</v>
      </c>
      <c r="AH919" s="304">
        <f t="shared" ca="1" si="434"/>
        <v>-8.1896009017318168</v>
      </c>
    </row>
    <row r="920" spans="1:34" x14ac:dyDescent="0.2">
      <c r="A920" s="347">
        <f t="shared" ca="1" si="412"/>
        <v>1E-4</v>
      </c>
      <c r="B920" s="304">
        <f t="shared" ca="1" si="413"/>
        <v>41.638600000001574</v>
      </c>
      <c r="D920" s="306">
        <f t="shared" ca="1" si="414"/>
        <v>-0.52460186866572811</v>
      </c>
      <c r="E920" s="307">
        <f t="shared" ca="1" si="415"/>
        <v>-1.6371881890171966</v>
      </c>
      <c r="F920" s="304">
        <f t="shared" ca="1" si="416"/>
        <v>1.7191836105736298</v>
      </c>
      <c r="G920" s="306">
        <f t="shared" ca="1" si="417"/>
        <v>8.7538156228541073</v>
      </c>
      <c r="H920" s="307">
        <f t="shared" ca="1" si="418"/>
        <v>-136.37733035535177</v>
      </c>
      <c r="I920" s="304">
        <f t="shared" ca="1" si="419"/>
        <v>136.65798740948762</v>
      </c>
      <c r="J920" s="306">
        <f t="shared" ca="1" si="420"/>
        <v>712.18513894933824</v>
      </c>
      <c r="K920" s="307">
        <f t="shared" ca="1" si="421"/>
        <v>-11.958480142224417</v>
      </c>
      <c r="L920" s="304">
        <f t="shared" ca="1" si="406"/>
        <v>712.28553080039478</v>
      </c>
      <c r="M920" s="306">
        <f t="shared" ca="1" si="422"/>
        <v>-1.506696062032912</v>
      </c>
      <c r="N920" s="304">
        <f t="shared" ca="1" si="423"/>
        <v>-86.327325363467125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4.0843000000000034</v>
      </c>
      <c r="T920" s="304">
        <f t="shared" ca="1" si="407"/>
        <v>40.066983000000036</v>
      </c>
      <c r="U920" s="311">
        <f t="shared" ca="1" si="408"/>
        <v>0</v>
      </c>
      <c r="V920" s="306">
        <f t="shared" ca="1" si="409"/>
        <v>1.2264657902486016</v>
      </c>
      <c r="W920" s="304">
        <f t="shared" ca="1" si="410"/>
        <v>33.449034868433685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1.6002214808723636</v>
      </c>
      <c r="AH920" s="304">
        <f t="shared" ca="1" si="434"/>
        <v>-8.1896312504500219</v>
      </c>
    </row>
    <row r="921" spans="1:34" x14ac:dyDescent="0.2">
      <c r="A921" s="347">
        <f t="shared" ca="1" si="412"/>
        <v>1E-4</v>
      </c>
      <c r="B921" s="304">
        <f t="shared" ca="1" si="413"/>
        <v>41.638700000001577</v>
      </c>
      <c r="D921" s="306">
        <f t="shared" ca="1" si="414"/>
        <v>-0.52460005455532877</v>
      </c>
      <c r="E921" s="307">
        <f t="shared" ca="1" si="415"/>
        <v>-1.6371576616550438</v>
      </c>
      <c r="F921" s="304">
        <f t="shared" ca="1" si="416"/>
        <v>1.7191539856438878</v>
      </c>
      <c r="G921" s="306">
        <f t="shared" ca="1" si="417"/>
        <v>8.7537631628486512</v>
      </c>
      <c r="H921" s="307">
        <f t="shared" ca="1" si="418"/>
        <v>-136.37749407111795</v>
      </c>
      <c r="I921" s="304">
        <f t="shared" ca="1" si="419"/>
        <v>136.65814742864421</v>
      </c>
      <c r="J921" s="306">
        <f t="shared" ca="1" si="420"/>
        <v>712.18513894933824</v>
      </c>
      <c r="K921" s="307">
        <f t="shared" ca="1" si="421"/>
        <v>-11.97211788344574</v>
      </c>
      <c r="L921" s="304">
        <f t="shared" ca="1" si="406"/>
        <v>712.28575989338947</v>
      </c>
      <c r="M921" s="306">
        <f t="shared" ca="1" si="422"/>
        <v>-1.5066965218613779</v>
      </c>
      <c r="N921" s="304">
        <f t="shared" ca="1" si="423"/>
        <v>-86.327351709697524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4.0843000000000034</v>
      </c>
      <c r="T921" s="304">
        <f t="shared" ca="1" si="407"/>
        <v>40.066983000000036</v>
      </c>
      <c r="U921" s="311">
        <f t="shared" ca="1" si="408"/>
        <v>0</v>
      </c>
      <c r="V921" s="306">
        <f t="shared" ca="1" si="409"/>
        <v>1.2264674628726471</v>
      </c>
      <c r="W921" s="304">
        <f t="shared" ca="1" si="410"/>
        <v>33.449158819605231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1.6001914213674908</v>
      </c>
      <c r="AH921" s="304">
        <f t="shared" ca="1" si="434"/>
        <v>-8.189661598911357</v>
      </c>
    </row>
    <row r="922" spans="1:34" x14ac:dyDescent="0.2">
      <c r="A922" s="347">
        <f t="shared" ca="1" si="412"/>
        <v>1E-4</v>
      </c>
      <c r="B922" s="304">
        <f t="shared" ca="1" si="413"/>
        <v>41.638800000001581</v>
      </c>
      <c r="D922" s="306">
        <f t="shared" ca="1" si="414"/>
        <v>-0.5245982404318329</v>
      </c>
      <c r="E922" s="307">
        <f t="shared" ca="1" si="415"/>
        <v>-1.6371271345511698</v>
      </c>
      <c r="F922" s="304">
        <f t="shared" ca="1" si="416"/>
        <v>1.7191243609895994</v>
      </c>
      <c r="G922" s="306">
        <f t="shared" ca="1" si="417"/>
        <v>8.7537107030246073</v>
      </c>
      <c r="H922" s="307">
        <f t="shared" ca="1" si="418"/>
        <v>-136.37765778383141</v>
      </c>
      <c r="I922" s="304">
        <f t="shared" ca="1" si="419"/>
        <v>136.65830744479487</v>
      </c>
      <c r="J922" s="306">
        <f t="shared" ca="1" si="420"/>
        <v>712.18513894933824</v>
      </c>
      <c r="K922" s="307">
        <f t="shared" ca="1" si="421"/>
        <v>-11.985755641038487</v>
      </c>
      <c r="L922" s="304">
        <f t="shared" ca="1" si="406"/>
        <v>712.28598924770017</v>
      </c>
      <c r="M922" s="306">
        <f t="shared" ca="1" si="422"/>
        <v>-1.5066969816860112</v>
      </c>
      <c r="N922" s="304">
        <f t="shared" ca="1" si="423"/>
        <v>-86.327378055708337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4.0843000000000034</v>
      </c>
      <c r="T922" s="304">
        <f t="shared" ca="1" si="407"/>
        <v>40.066983000000036</v>
      </c>
      <c r="U922" s="311">
        <f t="shared" ca="1" si="408"/>
        <v>0</v>
      </c>
      <c r="V922" s="306">
        <f t="shared" ca="1" si="409"/>
        <v>1.2264691355009831</v>
      </c>
      <c r="W922" s="304">
        <f t="shared" ca="1" si="410"/>
        <v>33.449282769727674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1.6001613621149939</v>
      </c>
      <c r="AH922" s="304">
        <f t="shared" ca="1" si="434"/>
        <v>-8.1896919471158345</v>
      </c>
    </row>
    <row r="923" spans="1:34" x14ac:dyDescent="0.2">
      <c r="A923" s="347">
        <f t="shared" ca="1" si="412"/>
        <v>1E-4</v>
      </c>
      <c r="B923" s="304">
        <f t="shared" ca="1" si="413"/>
        <v>41.638900000001584</v>
      </c>
      <c r="D923" s="306">
        <f t="shared" ca="1" si="414"/>
        <v>-0.52459642629524428</v>
      </c>
      <c r="E923" s="307">
        <f t="shared" ca="1" si="415"/>
        <v>-1.6370966077055833</v>
      </c>
      <c r="F923" s="304">
        <f t="shared" ca="1" si="416"/>
        <v>1.7190947366107752</v>
      </c>
      <c r="G923" s="306">
        <f t="shared" ca="1" si="417"/>
        <v>8.7536582433819774</v>
      </c>
      <c r="H923" s="307">
        <f t="shared" ca="1" si="418"/>
        <v>-136.37782149349218</v>
      </c>
      <c r="I923" s="304">
        <f t="shared" ca="1" si="419"/>
        <v>136.65846745793965</v>
      </c>
      <c r="J923" s="306">
        <f t="shared" ca="1" si="420"/>
        <v>712.18513894933824</v>
      </c>
      <c r="K923" s="307">
        <f t="shared" ca="1" si="421"/>
        <v>-11.999393415002354</v>
      </c>
      <c r="L923" s="304">
        <f t="shared" ca="1" si="406"/>
        <v>712.28621886332758</v>
      </c>
      <c r="M923" s="306">
        <f t="shared" ca="1" si="422"/>
        <v>-1.506697441506812</v>
      </c>
      <c r="N923" s="304">
        <f t="shared" ca="1" si="423"/>
        <v>-86.32740440149955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4.0843000000000034</v>
      </c>
      <c r="T923" s="304">
        <f t="shared" ca="1" si="407"/>
        <v>40.066983000000036</v>
      </c>
      <c r="U923" s="311">
        <f t="shared" ca="1" si="408"/>
        <v>0</v>
      </c>
      <c r="V923" s="306">
        <f t="shared" ca="1" si="409"/>
        <v>1.2264708081336093</v>
      </c>
      <c r="W923" s="304">
        <f t="shared" ca="1" si="410"/>
        <v>33.449406718801015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1.6001313031148854</v>
      </c>
      <c r="AH923" s="304">
        <f t="shared" ca="1" si="434"/>
        <v>-8.189722295063449</v>
      </c>
    </row>
    <row r="924" spans="1:34" x14ac:dyDescent="0.2">
      <c r="A924" s="347">
        <f t="shared" ca="1" si="412"/>
        <v>1E-4</v>
      </c>
      <c r="B924" s="304">
        <f t="shared" ca="1" si="413"/>
        <v>41.639000000001587</v>
      </c>
      <c r="D924" s="306">
        <f t="shared" ca="1" si="414"/>
        <v>-0.52459461214556213</v>
      </c>
      <c r="E924" s="307">
        <f t="shared" ca="1" si="415"/>
        <v>-1.6370660811182827</v>
      </c>
      <c r="F924" s="304">
        <f t="shared" ca="1" si="416"/>
        <v>1.719065112507413</v>
      </c>
      <c r="G924" s="306">
        <f t="shared" ca="1" si="417"/>
        <v>8.7536057839207633</v>
      </c>
      <c r="H924" s="307">
        <f t="shared" ca="1" si="418"/>
        <v>-136.37798520010028</v>
      </c>
      <c r="I924" s="304">
        <f t="shared" ca="1" si="419"/>
        <v>136.65862746807852</v>
      </c>
      <c r="J924" s="306">
        <f t="shared" ca="1" si="420"/>
        <v>712.18513894933824</v>
      </c>
      <c r="K924" s="307">
        <f t="shared" ca="1" si="421"/>
        <v>-12.013031205337034</v>
      </c>
      <c r="L924" s="304">
        <f t="shared" ca="1" si="406"/>
        <v>712.28644874027236</v>
      </c>
      <c r="M924" s="306">
        <f t="shared" ca="1" si="422"/>
        <v>-1.5066979013237805</v>
      </c>
      <c r="N924" s="304">
        <f t="shared" ca="1" si="423"/>
        <v>-86.32743074707119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4.0843000000000034</v>
      </c>
      <c r="T924" s="304">
        <f t="shared" ca="1" si="407"/>
        <v>40.066983000000036</v>
      </c>
      <c r="U924" s="311">
        <f t="shared" ca="1" si="408"/>
        <v>0</v>
      </c>
      <c r="V924" s="306">
        <f t="shared" ca="1" si="409"/>
        <v>1.2264724807705261</v>
      </c>
      <c r="W924" s="304">
        <f t="shared" ca="1" si="410"/>
        <v>33.449530666825268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 t="e">
        <f t="shared" ca="1" si="431"/>
        <v>#N/A</v>
      </c>
      <c r="AD924" s="323" t="e">
        <f t="shared" ca="1" si="432"/>
        <v>#N/A</v>
      </c>
      <c r="AE924" s="324" t="e">
        <f t="shared" ca="1" si="411"/>
        <v>#N/A</v>
      </c>
      <c r="AG924" s="306">
        <f t="shared" ca="1" si="433"/>
        <v>1.6001012443671581</v>
      </c>
      <c r="AH924" s="304">
        <f t="shared" ca="1" si="434"/>
        <v>-8.1897526427542022</v>
      </c>
    </row>
    <row r="925" spans="1:34" x14ac:dyDescent="0.2">
      <c r="A925" s="347">
        <f t="shared" ca="1" si="412"/>
        <v>1E-4</v>
      </c>
      <c r="B925" s="304">
        <f t="shared" ca="1" si="413"/>
        <v>41.639100000001591</v>
      </c>
      <c r="D925" s="306">
        <f t="shared" ca="1" si="414"/>
        <v>-0.52459279798278535</v>
      </c>
      <c r="E925" s="307">
        <f t="shared" ca="1" si="415"/>
        <v>-1.6370355547892625</v>
      </c>
      <c r="F925" s="304">
        <f t="shared" ca="1" si="416"/>
        <v>1.7190354886795083</v>
      </c>
      <c r="G925" s="306">
        <f t="shared" ca="1" si="417"/>
        <v>8.7535533246409649</v>
      </c>
      <c r="H925" s="307">
        <f t="shared" ca="1" si="418"/>
        <v>-136.37814890365576</v>
      </c>
      <c r="I925" s="304">
        <f t="shared" ca="1" si="419"/>
        <v>136.65878747521154</v>
      </c>
      <c r="J925" s="306">
        <f t="shared" ca="1" si="420"/>
        <v>712.18513894933824</v>
      </c>
      <c r="K925" s="307">
        <f t="shared" ca="1" si="421"/>
        <v>-12.026669012042221</v>
      </c>
      <c r="L925" s="304">
        <f t="shared" ca="1" si="406"/>
        <v>712.28667887853521</v>
      </c>
      <c r="M925" s="306">
        <f t="shared" ca="1" si="422"/>
        <v>-1.5066983611369165</v>
      </c>
      <c r="N925" s="304">
        <f t="shared" ca="1" si="423"/>
        <v>-86.327457092423245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4.0843000000000034</v>
      </c>
      <c r="T925" s="304">
        <f t="shared" ca="1" si="407"/>
        <v>40.066983000000036</v>
      </c>
      <c r="U925" s="311">
        <f t="shared" ca="1" si="408"/>
        <v>0</v>
      </c>
      <c r="V925" s="306">
        <f t="shared" ca="1" si="409"/>
        <v>1.2264741534117329</v>
      </c>
      <c r="W925" s="304">
        <f t="shared" ca="1" si="410"/>
        <v>33.449654613800412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1.6000711858718137</v>
      </c>
      <c r="AH925" s="304">
        <f t="shared" ca="1" si="434"/>
        <v>-8.1897829901880961</v>
      </c>
    </row>
    <row r="926" spans="1:34" x14ac:dyDescent="0.2">
      <c r="A926" s="347">
        <f t="shared" ca="1" si="412"/>
        <v>1E-4</v>
      </c>
      <c r="B926" s="304">
        <f t="shared" ca="1" si="413"/>
        <v>41.639200000001594</v>
      </c>
      <c r="D926" s="306">
        <f t="shared" ca="1" si="414"/>
        <v>-0.52459098380691616</v>
      </c>
      <c r="E926" s="307">
        <f t="shared" ca="1" si="415"/>
        <v>-1.63700502871853</v>
      </c>
      <c r="F926" s="304">
        <f t="shared" ca="1" si="416"/>
        <v>1.7190058651270692</v>
      </c>
      <c r="G926" s="306">
        <f t="shared" ca="1" si="417"/>
        <v>8.7535008655425841</v>
      </c>
      <c r="H926" s="307">
        <f t="shared" ca="1" si="418"/>
        <v>-136.37831260415862</v>
      </c>
      <c r="I926" s="304">
        <f t="shared" ca="1" si="419"/>
        <v>136.65894747933874</v>
      </c>
      <c r="J926" s="306">
        <f t="shared" ca="1" si="420"/>
        <v>712.18513894933824</v>
      </c>
      <c r="K926" s="307">
        <f t="shared" ca="1" si="421"/>
        <v>-12.040306835117612</v>
      </c>
      <c r="L926" s="304">
        <f t="shared" ca="1" si="406"/>
        <v>712.2869092781167</v>
      </c>
      <c r="M926" s="306">
        <f t="shared" ca="1" si="422"/>
        <v>-1.5066988209462202</v>
      </c>
      <c r="N926" s="304">
        <f t="shared" ca="1" si="423"/>
        <v>-86.327483437555742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4.0843000000000034</v>
      </c>
      <c r="T926" s="304">
        <f t="shared" ca="1" si="407"/>
        <v>40.066983000000036</v>
      </c>
      <c r="U926" s="311">
        <f t="shared" ca="1" si="408"/>
        <v>0</v>
      </c>
      <c r="V926" s="306">
        <f t="shared" ca="1" si="409"/>
        <v>1.2264758260572304</v>
      </c>
      <c r="W926" s="304">
        <f t="shared" ca="1" si="410"/>
        <v>33.449778559726461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1.6000411276288542</v>
      </c>
      <c r="AH926" s="304">
        <f t="shared" ca="1" si="434"/>
        <v>-8.189813337365127</v>
      </c>
    </row>
    <row r="927" spans="1:34" x14ac:dyDescent="0.2">
      <c r="A927" s="347">
        <f t="shared" ca="1" si="412"/>
        <v>1E-4</v>
      </c>
      <c r="B927" s="304">
        <f t="shared" ca="1" si="413"/>
        <v>41.639300000001597</v>
      </c>
      <c r="D927" s="306">
        <f t="shared" ca="1" si="414"/>
        <v>-0.52458916961795354</v>
      </c>
      <c r="E927" s="307">
        <f t="shared" ca="1" si="415"/>
        <v>-1.6369745029060834</v>
      </c>
      <c r="F927" s="304">
        <f t="shared" ca="1" si="416"/>
        <v>1.718976241850094</v>
      </c>
      <c r="G927" s="306">
        <f t="shared" ca="1" si="417"/>
        <v>8.7534484066256226</v>
      </c>
      <c r="H927" s="307">
        <f t="shared" ca="1" si="418"/>
        <v>-136.37847630160891</v>
      </c>
      <c r="I927" s="304">
        <f t="shared" ca="1" si="419"/>
        <v>136.65910748046016</v>
      </c>
      <c r="J927" s="306">
        <f t="shared" ca="1" si="420"/>
        <v>712.18513894933824</v>
      </c>
      <c r="K927" s="307">
        <f t="shared" ca="1" si="421"/>
        <v>-12.053944674562899</v>
      </c>
      <c r="L927" s="304">
        <f t="shared" ca="1" si="406"/>
        <v>712.28713993901761</v>
      </c>
      <c r="M927" s="306">
        <f t="shared" ca="1" si="422"/>
        <v>-1.5066992807516917</v>
      </c>
      <c r="N927" s="304">
        <f t="shared" ca="1" si="423"/>
        <v>-86.327509782468653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4.0843000000000034</v>
      </c>
      <c r="T927" s="304">
        <f t="shared" ca="1" si="407"/>
        <v>40.066983000000036</v>
      </c>
      <c r="U927" s="311">
        <f t="shared" ca="1" si="408"/>
        <v>0</v>
      </c>
      <c r="V927" s="306">
        <f t="shared" ca="1" si="409"/>
        <v>1.2264774987070177</v>
      </c>
      <c r="W927" s="304">
        <f t="shared" ca="1" si="410"/>
        <v>33.449902504603443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1.6000110696382777</v>
      </c>
      <c r="AH927" s="304">
        <f t="shared" ca="1" si="434"/>
        <v>-8.1898436842852949</v>
      </c>
    </row>
    <row r="928" spans="1:34" x14ac:dyDescent="0.2">
      <c r="A928" s="347">
        <f t="shared" ca="1" si="412"/>
        <v>1E-4</v>
      </c>
      <c r="B928" s="304">
        <f t="shared" ca="1" si="413"/>
        <v>41.639400000001601</v>
      </c>
      <c r="D928" s="306">
        <f t="shared" ca="1" si="414"/>
        <v>-0.52458735541589896</v>
      </c>
      <c r="E928" s="307">
        <f t="shared" ca="1" si="415"/>
        <v>-1.6369439773519101</v>
      </c>
      <c r="F928" s="304">
        <f t="shared" ca="1" si="416"/>
        <v>1.7189466188485718</v>
      </c>
      <c r="G928" s="306">
        <f t="shared" ca="1" si="417"/>
        <v>8.7533959478900805</v>
      </c>
      <c r="H928" s="307">
        <f t="shared" ca="1" si="418"/>
        <v>-136.37863999600665</v>
      </c>
      <c r="I928" s="304">
        <f t="shared" ca="1" si="419"/>
        <v>136.6592674785758</v>
      </c>
      <c r="J928" s="306">
        <f t="shared" ca="1" si="420"/>
        <v>712.18513894933824</v>
      </c>
      <c r="K928" s="307">
        <f t="shared" ca="1" si="421"/>
        <v>-12.067582530377781</v>
      </c>
      <c r="L928" s="304">
        <f t="shared" ca="1" si="406"/>
        <v>712.28737086123863</v>
      </c>
      <c r="M928" s="306">
        <f t="shared" ca="1" si="422"/>
        <v>-1.5066997405533309</v>
      </c>
      <c r="N928" s="304">
        <f t="shared" ca="1" si="423"/>
        <v>-86.327536127161991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4.0843000000000034</v>
      </c>
      <c r="T928" s="304">
        <f t="shared" ca="1" si="407"/>
        <v>40.066983000000036</v>
      </c>
      <c r="U928" s="311">
        <f t="shared" ca="1" si="408"/>
        <v>0</v>
      </c>
      <c r="V928" s="306">
        <f t="shared" ca="1" si="409"/>
        <v>1.2264791713610952</v>
      </c>
      <c r="W928" s="304">
        <f t="shared" ca="1" si="410"/>
        <v>33.450026448431316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1.5999810119000752</v>
      </c>
      <c r="AH928" s="304">
        <f t="shared" ca="1" si="434"/>
        <v>-8.1898740309486122</v>
      </c>
    </row>
    <row r="929" spans="1:34" x14ac:dyDescent="0.2">
      <c r="A929" s="347">
        <f t="shared" ca="1" si="412"/>
        <v>1E-4</v>
      </c>
      <c r="B929" s="304">
        <f t="shared" ca="1" si="413"/>
        <v>41.639500000001604</v>
      </c>
      <c r="D929" s="306">
        <f t="shared" ca="1" si="414"/>
        <v>-0.52458554120075229</v>
      </c>
      <c r="E929" s="307">
        <f t="shared" ca="1" si="415"/>
        <v>-1.6369134520560245</v>
      </c>
      <c r="F929" s="304">
        <f t="shared" ca="1" si="416"/>
        <v>1.7189169961225168</v>
      </c>
      <c r="G929" s="306">
        <f t="shared" ca="1" si="417"/>
        <v>8.7533434893359612</v>
      </c>
      <c r="H929" s="307">
        <f t="shared" ca="1" si="418"/>
        <v>-136.37880368735185</v>
      </c>
      <c r="I929" s="304">
        <f t="shared" ca="1" si="419"/>
        <v>136.65942747368567</v>
      </c>
      <c r="J929" s="306">
        <f t="shared" ca="1" si="420"/>
        <v>712.18513894933824</v>
      </c>
      <c r="K929" s="307">
        <f t="shared" ca="1" si="421"/>
        <v>-12.081220402561948</v>
      </c>
      <c r="L929" s="304">
        <f t="shared" ca="1" si="406"/>
        <v>712.28760204478044</v>
      </c>
      <c r="M929" s="306">
        <f t="shared" ca="1" si="422"/>
        <v>-1.5067002003511378</v>
      </c>
      <c r="N929" s="304">
        <f t="shared" ca="1" si="423"/>
        <v>-86.327562471635758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4.0843000000000034</v>
      </c>
      <c r="T929" s="304">
        <f t="shared" ca="1" si="407"/>
        <v>40.066983000000036</v>
      </c>
      <c r="U929" s="311">
        <f t="shared" ca="1" si="408"/>
        <v>0</v>
      </c>
      <c r="V929" s="306">
        <f t="shared" ca="1" si="409"/>
        <v>1.2264808440194628</v>
      </c>
      <c r="W929" s="304">
        <f t="shared" ca="1" si="410"/>
        <v>33.45015039121008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1.5999509544142576</v>
      </c>
      <c r="AH929" s="304">
        <f t="shared" ca="1" si="434"/>
        <v>-8.1899043773550648</v>
      </c>
    </row>
    <row r="930" spans="1:34" x14ac:dyDescent="0.2">
      <c r="A930" s="347">
        <f t="shared" ca="1" si="412"/>
        <v>1E-4</v>
      </c>
      <c r="B930" s="304">
        <f t="shared" ca="1" si="413"/>
        <v>41.639600000001607</v>
      </c>
      <c r="D930" s="306">
        <f t="shared" ca="1" si="414"/>
        <v>-0.5245837269725141</v>
      </c>
      <c r="E930" s="307">
        <f t="shared" ca="1" si="415"/>
        <v>-1.6368829270184282</v>
      </c>
      <c r="F930" s="304">
        <f t="shared" ca="1" si="416"/>
        <v>1.7188873736719315</v>
      </c>
      <c r="G930" s="306">
        <f t="shared" ca="1" si="417"/>
        <v>8.7532910309632648</v>
      </c>
      <c r="H930" s="307">
        <f t="shared" ca="1" si="418"/>
        <v>-136.37896737564455</v>
      </c>
      <c r="I930" s="304">
        <f t="shared" ca="1" si="419"/>
        <v>136.65958746578983</v>
      </c>
      <c r="J930" s="306">
        <f t="shared" ca="1" si="420"/>
        <v>712.18513894933824</v>
      </c>
      <c r="K930" s="307">
        <f t="shared" ca="1" si="421"/>
        <v>-12.094858291115099</v>
      </c>
      <c r="L930" s="304">
        <f t="shared" ca="1" si="406"/>
        <v>712.28783348964373</v>
      </c>
      <c r="M930" s="306">
        <f t="shared" ca="1" si="422"/>
        <v>-1.5067006601451127</v>
      </c>
      <c r="N930" s="304">
        <f t="shared" ca="1" si="423"/>
        <v>-86.327588815889968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4.0843000000000034</v>
      </c>
      <c r="T930" s="304">
        <f t="shared" ca="1" si="407"/>
        <v>40.066983000000036</v>
      </c>
      <c r="U930" s="311">
        <f t="shared" ca="1" si="408"/>
        <v>0</v>
      </c>
      <c r="V930" s="306">
        <f t="shared" ca="1" si="409"/>
        <v>1.2264825166821209</v>
      </c>
      <c r="W930" s="304">
        <f t="shared" ca="1" si="410"/>
        <v>33.450274332939792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1.5999208971808301</v>
      </c>
      <c r="AH930" s="304">
        <f t="shared" ca="1" si="434"/>
        <v>-8.1899347235046527</v>
      </c>
    </row>
    <row r="931" spans="1:34" x14ac:dyDescent="0.2">
      <c r="A931" s="347">
        <f t="shared" ca="1" si="412"/>
        <v>1E-4</v>
      </c>
      <c r="B931" s="304">
        <f t="shared" ca="1" si="413"/>
        <v>41.639700000001611</v>
      </c>
      <c r="D931" s="306">
        <f t="shared" ca="1" si="414"/>
        <v>-0.52458191273118449</v>
      </c>
      <c r="E931" s="307">
        <f t="shared" ca="1" si="415"/>
        <v>-1.6368524022391036</v>
      </c>
      <c r="F931" s="304">
        <f t="shared" ca="1" si="416"/>
        <v>1.7188577514967991</v>
      </c>
      <c r="G931" s="306">
        <f t="shared" ca="1" si="417"/>
        <v>8.7532385727719912</v>
      </c>
      <c r="H931" s="307">
        <f t="shared" ca="1" si="418"/>
        <v>-136.37913106088476</v>
      </c>
      <c r="I931" s="304">
        <f t="shared" ca="1" si="419"/>
        <v>136.65974745488828</v>
      </c>
      <c r="J931" s="306">
        <f t="shared" ca="1" si="420"/>
        <v>712.18513894933824</v>
      </c>
      <c r="K931" s="307">
        <f t="shared" ca="1" si="421"/>
        <v>-12.108496196036924</v>
      </c>
      <c r="L931" s="304">
        <f t="shared" ca="1" si="406"/>
        <v>712.28806519582906</v>
      </c>
      <c r="M931" s="306">
        <f t="shared" ca="1" si="422"/>
        <v>-1.5067011199352556</v>
      </c>
      <c r="N931" s="304">
        <f t="shared" ca="1" si="423"/>
        <v>-86.327615159924605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4.0843000000000034</v>
      </c>
      <c r="T931" s="304">
        <f t="shared" ca="1" si="407"/>
        <v>40.066983000000036</v>
      </c>
      <c r="U931" s="311">
        <f t="shared" ca="1" si="408"/>
        <v>0</v>
      </c>
      <c r="V931" s="306">
        <f t="shared" ca="1" si="409"/>
        <v>1.226484189349069</v>
      </c>
      <c r="W931" s="304">
        <f t="shared" ca="1" si="410"/>
        <v>33.450398273620401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1.5998908401997731</v>
      </c>
      <c r="AH931" s="304">
        <f t="shared" ca="1" si="434"/>
        <v>-8.1899650693973918</v>
      </c>
    </row>
    <row r="932" spans="1:34" x14ac:dyDescent="0.2">
      <c r="A932" s="347">
        <f t="shared" ca="1" si="412"/>
        <v>1E-4</v>
      </c>
      <c r="B932" s="304">
        <f t="shared" ca="1" si="413"/>
        <v>41.639800000001614</v>
      </c>
      <c r="D932" s="306">
        <f t="shared" ca="1" si="414"/>
        <v>-0.52458009847676312</v>
      </c>
      <c r="E932" s="307">
        <f t="shared" ca="1" si="415"/>
        <v>-1.6368218777180648</v>
      </c>
      <c r="F932" s="304">
        <f t="shared" ca="1" si="416"/>
        <v>1.7188281295971339</v>
      </c>
      <c r="G932" s="306">
        <f t="shared" ca="1" si="417"/>
        <v>8.7531861147621441</v>
      </c>
      <c r="H932" s="307">
        <f t="shared" ca="1" si="418"/>
        <v>-136.37929474307253</v>
      </c>
      <c r="I932" s="304">
        <f t="shared" ca="1" si="419"/>
        <v>136.65990744098107</v>
      </c>
      <c r="J932" s="306">
        <f t="shared" ca="1" si="420"/>
        <v>712.18513894933824</v>
      </c>
      <c r="K932" s="307">
        <f t="shared" ca="1" si="421"/>
        <v>-12.122134117327121</v>
      </c>
      <c r="L932" s="304">
        <f t="shared" ca="1" si="406"/>
        <v>712.28829716333735</v>
      </c>
      <c r="M932" s="306">
        <f t="shared" ca="1" si="422"/>
        <v>-1.5067015797215662</v>
      </c>
      <c r="N932" s="304">
        <f t="shared" ca="1" si="423"/>
        <v>-86.327641503739684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4.0843000000000034</v>
      </c>
      <c r="T932" s="304">
        <f t="shared" ca="1" si="407"/>
        <v>40.066983000000036</v>
      </c>
      <c r="U932" s="311">
        <f t="shared" ca="1" si="408"/>
        <v>0</v>
      </c>
      <c r="V932" s="306">
        <f t="shared" ca="1" si="409"/>
        <v>1.226485862020307</v>
      </c>
      <c r="W932" s="304">
        <f t="shared" ca="1" si="410"/>
        <v>33.450522213251922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1.5998607834710992</v>
      </c>
      <c r="AH932" s="304">
        <f t="shared" ca="1" si="434"/>
        <v>-8.1899954150332679</v>
      </c>
    </row>
    <row r="933" spans="1:34" x14ac:dyDescent="0.2">
      <c r="A933" s="347">
        <f t="shared" ca="1" si="412"/>
        <v>1E-4</v>
      </c>
      <c r="B933" s="304">
        <f t="shared" ca="1" si="413"/>
        <v>41.639900000001617</v>
      </c>
      <c r="D933" s="306">
        <f t="shared" ca="1" si="414"/>
        <v>-0.52457828420925268</v>
      </c>
      <c r="E933" s="307">
        <f t="shared" ca="1" si="415"/>
        <v>-1.63679135345531</v>
      </c>
      <c r="F933" s="304">
        <f t="shared" ca="1" si="416"/>
        <v>1.7187985079729355</v>
      </c>
      <c r="G933" s="306">
        <f t="shared" ca="1" si="417"/>
        <v>8.7531336569337235</v>
      </c>
      <c r="H933" s="307">
        <f t="shared" ca="1" si="418"/>
        <v>-136.37945842220788</v>
      </c>
      <c r="I933" s="304">
        <f t="shared" ca="1" si="419"/>
        <v>136.66006742406822</v>
      </c>
      <c r="J933" s="306">
        <f t="shared" ca="1" si="420"/>
        <v>712.18513894933824</v>
      </c>
      <c r="K933" s="307">
        <f t="shared" ca="1" si="421"/>
        <v>-12.135772054985384</v>
      </c>
      <c r="L933" s="304">
        <f t="shared" ca="1" si="406"/>
        <v>712.28852939216904</v>
      </c>
      <c r="M933" s="306">
        <f t="shared" ca="1" si="422"/>
        <v>-1.5067020395040449</v>
      </c>
      <c r="N933" s="304">
        <f t="shared" ca="1" si="423"/>
        <v>-86.327667847335206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4.0843000000000034</v>
      </c>
      <c r="T933" s="304">
        <f t="shared" ca="1" si="407"/>
        <v>40.066983000000036</v>
      </c>
      <c r="U933" s="311">
        <f t="shared" ca="1" si="408"/>
        <v>0</v>
      </c>
      <c r="V933" s="306">
        <f t="shared" ca="1" si="409"/>
        <v>1.2264875346958355</v>
      </c>
      <c r="W933" s="304">
        <f t="shared" ca="1" si="410"/>
        <v>33.450646151834391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1.59983072699481</v>
      </c>
      <c r="AH933" s="304">
        <f t="shared" ca="1" si="434"/>
        <v>-8.1900257604122846</v>
      </c>
    </row>
    <row r="934" spans="1:34" x14ac:dyDescent="0.2">
      <c r="A934" s="347">
        <f t="shared" ca="1" si="412"/>
        <v>1E-4</v>
      </c>
      <c r="B934" s="304">
        <f t="shared" ca="1" si="413"/>
        <v>41.640000000001621</v>
      </c>
      <c r="D934" s="306">
        <f t="shared" ca="1" si="414"/>
        <v>-0.52457646992865103</v>
      </c>
      <c r="E934" s="307">
        <f t="shared" ca="1" si="415"/>
        <v>-1.6367608294508269</v>
      </c>
      <c r="F934" s="304">
        <f t="shared" ca="1" si="416"/>
        <v>1.7187688866241919</v>
      </c>
      <c r="G934" s="306">
        <f t="shared" ca="1" si="417"/>
        <v>8.753081199286731</v>
      </c>
      <c r="H934" s="307">
        <f t="shared" ca="1" si="418"/>
        <v>-136.37962209829081</v>
      </c>
      <c r="I934" s="304">
        <f t="shared" ca="1" si="419"/>
        <v>136.66022740414974</v>
      </c>
      <c r="J934" s="306">
        <f t="shared" ca="1" si="420"/>
        <v>712.18513894933824</v>
      </c>
      <c r="K934" s="307">
        <f t="shared" ca="1" si="421"/>
        <v>-12.14941000901141</v>
      </c>
      <c r="L934" s="304">
        <f t="shared" ca="1" si="406"/>
        <v>712.28876188232493</v>
      </c>
      <c r="M934" s="306">
        <f t="shared" ca="1" si="422"/>
        <v>-1.5067024992826916</v>
      </c>
      <c r="N934" s="304">
        <f t="shared" ca="1" si="423"/>
        <v>-86.327694190711171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4.0843000000000034</v>
      </c>
      <c r="T934" s="304">
        <f t="shared" ca="1" si="407"/>
        <v>40.066983000000036</v>
      </c>
      <c r="U934" s="311">
        <f t="shared" ca="1" si="408"/>
        <v>0</v>
      </c>
      <c r="V934" s="306">
        <f t="shared" ca="1" si="409"/>
        <v>1.2264892073756539</v>
      </c>
      <c r="W934" s="304">
        <f t="shared" ca="1" si="410"/>
        <v>33.450770089367758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 t="e">
        <f t="shared" ca="1" si="411"/>
        <v>#N/A</v>
      </c>
      <c r="AG934" s="306">
        <f t="shared" ca="1" si="433"/>
        <v>1.5998006707708896</v>
      </c>
      <c r="AH934" s="304">
        <f t="shared" ca="1" si="434"/>
        <v>-8.1900561055344525</v>
      </c>
    </row>
    <row r="935" spans="1:34" x14ac:dyDescent="0.2">
      <c r="A935" s="347">
        <f t="shared" ca="1" si="412"/>
        <v>1E-4</v>
      </c>
      <c r="B935" s="304">
        <f t="shared" ca="1" si="413"/>
        <v>41.640100000001624</v>
      </c>
      <c r="D935" s="306">
        <f t="shared" ca="1" si="414"/>
        <v>-0.52457465563495964</v>
      </c>
      <c r="E935" s="307">
        <f t="shared" ca="1" si="415"/>
        <v>-1.6367303057046279</v>
      </c>
      <c r="F935" s="304">
        <f t="shared" ca="1" si="416"/>
        <v>1.7187392655509157</v>
      </c>
      <c r="G935" s="306">
        <f t="shared" ca="1" si="417"/>
        <v>8.7530287418211667</v>
      </c>
      <c r="H935" s="307">
        <f t="shared" ca="1" si="418"/>
        <v>-136.37978577132137</v>
      </c>
      <c r="I935" s="304">
        <f t="shared" ca="1" si="419"/>
        <v>136.66038738122563</v>
      </c>
      <c r="J935" s="306">
        <f t="shared" ca="1" si="420"/>
        <v>712.18513894933824</v>
      </c>
      <c r="K935" s="307">
        <f t="shared" ca="1" si="421"/>
        <v>-12.16304797940489</v>
      </c>
      <c r="L935" s="304">
        <f t="shared" ca="1" si="406"/>
        <v>712.2889946338056</v>
      </c>
      <c r="M935" s="306">
        <f t="shared" ca="1" si="422"/>
        <v>-1.5067029590575065</v>
      </c>
      <c r="N935" s="304">
        <f t="shared" ca="1" si="423"/>
        <v>-86.327720533867591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4.0843000000000034</v>
      </c>
      <c r="T935" s="304">
        <f t="shared" ca="1" si="407"/>
        <v>40.066983000000036</v>
      </c>
      <c r="U935" s="311">
        <f t="shared" ca="1" si="408"/>
        <v>0</v>
      </c>
      <c r="V935" s="306">
        <f t="shared" ca="1" si="409"/>
        <v>1.226490880059762</v>
      </c>
      <c r="W935" s="304">
        <f t="shared" ca="1" si="410"/>
        <v>33.450894025852037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1.5997706147993576</v>
      </c>
      <c r="AH935" s="304">
        <f t="shared" ca="1" si="434"/>
        <v>-8.1900864503997575</v>
      </c>
    </row>
    <row r="936" spans="1:34" x14ac:dyDescent="0.2">
      <c r="A936" s="347">
        <f t="shared" ca="1" si="412"/>
        <v>1E-4</v>
      </c>
      <c r="B936" s="304">
        <f t="shared" ca="1" si="413"/>
        <v>41.640200000001627</v>
      </c>
      <c r="D936" s="306">
        <f t="shared" ca="1" si="414"/>
        <v>-0.52457284132817805</v>
      </c>
      <c r="E936" s="307">
        <f t="shared" ca="1" si="415"/>
        <v>-1.6366997822167111</v>
      </c>
      <c r="F936" s="304">
        <f t="shared" ca="1" si="416"/>
        <v>1.7187096447531058</v>
      </c>
      <c r="G936" s="306">
        <f t="shared" ca="1" si="417"/>
        <v>8.7529762845370342</v>
      </c>
      <c r="H936" s="307">
        <f t="shared" ca="1" si="418"/>
        <v>-136.3799494412996</v>
      </c>
      <c r="I936" s="304">
        <f t="shared" ca="1" si="419"/>
        <v>136.66054735529602</v>
      </c>
      <c r="J936" s="306">
        <f t="shared" ca="1" si="420"/>
        <v>712.18513894933824</v>
      </c>
      <c r="K936" s="307">
        <f t="shared" ca="1" si="421"/>
        <v>-12.176685966165522</v>
      </c>
      <c r="L936" s="304">
        <f t="shared" ca="1" si="406"/>
        <v>712.28922764661183</v>
      </c>
      <c r="M936" s="306">
        <f t="shared" ca="1" si="422"/>
        <v>-1.5067034188284893</v>
      </c>
      <c r="N936" s="304">
        <f t="shared" ca="1" si="423"/>
        <v>-86.327746876804454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4.0843000000000034</v>
      </c>
      <c r="T936" s="304">
        <f t="shared" ca="1" si="407"/>
        <v>40.066983000000036</v>
      </c>
      <c r="U936" s="311">
        <f t="shared" ca="1" si="408"/>
        <v>0</v>
      </c>
      <c r="V936" s="306">
        <f t="shared" ca="1" si="409"/>
        <v>1.2264925527481605</v>
      </c>
      <c r="W936" s="304">
        <f t="shared" ca="1" si="410"/>
        <v>33.451017961287263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1.5997405590802032</v>
      </c>
      <c r="AH936" s="304">
        <f t="shared" ca="1" si="434"/>
        <v>-8.1901167950082048</v>
      </c>
    </row>
    <row r="937" spans="1:34" x14ac:dyDescent="0.2">
      <c r="A937" s="347">
        <f t="shared" ca="1" si="412"/>
        <v>1E-4</v>
      </c>
      <c r="B937" s="304">
        <f t="shared" ca="1" si="413"/>
        <v>41.640300000001631</v>
      </c>
      <c r="D937" s="306">
        <f t="shared" ca="1" si="414"/>
        <v>-0.52457102700830893</v>
      </c>
      <c r="E937" s="307">
        <f t="shared" ca="1" si="415"/>
        <v>-1.6366692589870695</v>
      </c>
      <c r="F937" s="304">
        <f t="shared" ca="1" si="416"/>
        <v>1.7186800242307569</v>
      </c>
      <c r="G937" s="306">
        <f t="shared" ca="1" si="417"/>
        <v>8.7529238274343335</v>
      </c>
      <c r="H937" s="307">
        <f t="shared" ca="1" si="418"/>
        <v>-136.38011310822549</v>
      </c>
      <c r="I937" s="304">
        <f t="shared" ca="1" si="419"/>
        <v>136.66070732636081</v>
      </c>
      <c r="J937" s="306">
        <f t="shared" ca="1" si="420"/>
        <v>712.18513894933824</v>
      </c>
      <c r="K937" s="307">
        <f t="shared" ca="1" si="421"/>
        <v>-12.190323969292997</v>
      </c>
      <c r="L937" s="304">
        <f t="shared" ca="1" si="406"/>
        <v>712.28946092074432</v>
      </c>
      <c r="M937" s="306">
        <f t="shared" ca="1" si="422"/>
        <v>-1.5067038785956406</v>
      </c>
      <c r="N937" s="304">
        <f t="shared" ca="1" si="423"/>
        <v>-86.327773219521774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4.0843000000000034</v>
      </c>
      <c r="T937" s="304">
        <f t="shared" ca="1" si="407"/>
        <v>40.066983000000036</v>
      </c>
      <c r="U937" s="311">
        <f t="shared" ca="1" si="408"/>
        <v>0</v>
      </c>
      <c r="V937" s="306">
        <f t="shared" ca="1" si="409"/>
        <v>1.2264942254408491</v>
      </c>
      <c r="W937" s="304">
        <f t="shared" ca="1" si="410"/>
        <v>33.451141895673409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1.5997105036134247</v>
      </c>
      <c r="AH937" s="304">
        <f t="shared" ca="1" si="434"/>
        <v>-8.1901471393598015</v>
      </c>
    </row>
    <row r="938" spans="1:34" x14ac:dyDescent="0.2">
      <c r="A938" s="347">
        <f t="shared" ca="1" si="412"/>
        <v>1E-4</v>
      </c>
      <c r="B938" s="304">
        <f t="shared" ca="1" si="413"/>
        <v>41.640400000001634</v>
      </c>
      <c r="D938" s="306">
        <f t="shared" ca="1" si="414"/>
        <v>-0.52456921267534906</v>
      </c>
      <c r="E938" s="307">
        <f t="shared" ca="1" si="415"/>
        <v>-1.6366387360157084</v>
      </c>
      <c r="F938" s="304">
        <f t="shared" ca="1" si="416"/>
        <v>1.7186504039838733</v>
      </c>
      <c r="G938" s="306">
        <f t="shared" ca="1" si="417"/>
        <v>8.7528713705130663</v>
      </c>
      <c r="H938" s="307">
        <f t="shared" ca="1" si="418"/>
        <v>-136.38027677209908</v>
      </c>
      <c r="I938" s="304">
        <f t="shared" ca="1" si="419"/>
        <v>136.66086729442009</v>
      </c>
      <c r="J938" s="306">
        <f t="shared" ca="1" si="420"/>
        <v>712.18513894933824</v>
      </c>
      <c r="K938" s="307">
        <f t="shared" ca="1" si="421"/>
        <v>-12.203961988787013</v>
      </c>
      <c r="L938" s="304">
        <f t="shared" ca="1" si="406"/>
        <v>712.28969445620362</v>
      </c>
      <c r="M938" s="306">
        <f t="shared" ca="1" si="422"/>
        <v>-1.50670433835896</v>
      </c>
      <c r="N938" s="304">
        <f t="shared" ca="1" si="423"/>
        <v>-86.327799562019564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4.0843000000000034</v>
      </c>
      <c r="T938" s="304">
        <f t="shared" ca="1" si="407"/>
        <v>40.066983000000036</v>
      </c>
      <c r="U938" s="311">
        <f t="shared" ca="1" si="408"/>
        <v>0</v>
      </c>
      <c r="V938" s="306">
        <f t="shared" ca="1" si="409"/>
        <v>1.2264958981378271</v>
      </c>
      <c r="W938" s="304">
        <f t="shared" ca="1" si="410"/>
        <v>33.451265829010474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1.5996804483990257</v>
      </c>
      <c r="AH938" s="304">
        <f t="shared" ca="1" si="434"/>
        <v>-8.1901774834545407</v>
      </c>
    </row>
    <row r="939" spans="1:34" x14ac:dyDescent="0.2">
      <c r="A939" s="347">
        <f t="shared" ca="1" si="412"/>
        <v>1E-4</v>
      </c>
      <c r="B939" s="304">
        <f t="shared" ca="1" si="413"/>
        <v>41.640500000001637</v>
      </c>
      <c r="D939" s="306">
        <f t="shared" ca="1" si="414"/>
        <v>-0.52456739832930088</v>
      </c>
      <c r="E939" s="307">
        <f t="shared" ca="1" si="415"/>
        <v>-1.6366082133026243</v>
      </c>
      <c r="F939" s="304">
        <f t="shared" ca="1" si="416"/>
        <v>1.7186207840124532</v>
      </c>
      <c r="G939" s="306">
        <f t="shared" ca="1" si="417"/>
        <v>8.7528189137732326</v>
      </c>
      <c r="H939" s="307">
        <f t="shared" ca="1" si="418"/>
        <v>-136.38044043292041</v>
      </c>
      <c r="I939" s="304">
        <f t="shared" ca="1" si="419"/>
        <v>136.66102725947388</v>
      </c>
      <c r="J939" s="306">
        <f t="shared" ca="1" si="420"/>
        <v>712.18513894933824</v>
      </c>
      <c r="K939" s="307">
        <f t="shared" ca="1" si="421"/>
        <v>-12.217600024647263</v>
      </c>
      <c r="L939" s="304">
        <f t="shared" ca="1" si="406"/>
        <v>712.28992825299065</v>
      </c>
      <c r="M939" s="306">
        <f t="shared" ca="1" si="422"/>
        <v>-1.5067047981184476</v>
      </c>
      <c r="N939" s="304">
        <f t="shared" ca="1" si="423"/>
        <v>-86.327825904297782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4.0843000000000034</v>
      </c>
      <c r="T939" s="304">
        <f t="shared" ca="1" si="407"/>
        <v>40.066983000000036</v>
      </c>
      <c r="U939" s="311">
        <f t="shared" ca="1" si="408"/>
        <v>0</v>
      </c>
      <c r="V939" s="306">
        <f t="shared" ca="1" si="409"/>
        <v>1.2264975708390955</v>
      </c>
      <c r="W939" s="304">
        <f t="shared" ca="1" si="410"/>
        <v>33.451389761298472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1.5996503934370061</v>
      </c>
      <c r="AH939" s="304">
        <f t="shared" ca="1" si="434"/>
        <v>-8.1902078272924239</v>
      </c>
    </row>
    <row r="940" spans="1:34" x14ac:dyDescent="0.2">
      <c r="A940" s="347">
        <f t="shared" ca="1" si="412"/>
        <v>1E-4</v>
      </c>
      <c r="B940" s="304">
        <f t="shared" ca="1" si="413"/>
        <v>41.640600000001641</v>
      </c>
      <c r="D940" s="306">
        <f t="shared" ca="1" si="414"/>
        <v>-0.52456558397016551</v>
      </c>
      <c r="E940" s="307">
        <f t="shared" ca="1" si="415"/>
        <v>-1.6365776908478207</v>
      </c>
      <c r="F940" s="304">
        <f t="shared" ca="1" si="416"/>
        <v>1.7185911643165008</v>
      </c>
      <c r="G940" s="306">
        <f t="shared" ca="1" si="417"/>
        <v>8.752766457214836</v>
      </c>
      <c r="H940" s="307">
        <f t="shared" ca="1" si="418"/>
        <v>-136.3806040906895</v>
      </c>
      <c r="I940" s="304">
        <f t="shared" ca="1" si="419"/>
        <v>136.6611872215222</v>
      </c>
      <c r="J940" s="306">
        <f t="shared" ca="1" si="420"/>
        <v>712.18513894933824</v>
      </c>
      <c r="K940" s="307">
        <f t="shared" ca="1" si="421"/>
        <v>-12.231238076873444</v>
      </c>
      <c r="L940" s="304">
        <f t="shared" ca="1" si="406"/>
        <v>712.29016231110575</v>
      </c>
      <c r="M940" s="306">
        <f t="shared" ca="1" si="422"/>
        <v>-1.5067052578741036</v>
      </c>
      <c r="N940" s="304">
        <f t="shared" ca="1" si="423"/>
        <v>-86.327852246356485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4.0843000000000034</v>
      </c>
      <c r="T940" s="304">
        <f t="shared" ca="1" si="407"/>
        <v>40.066983000000036</v>
      </c>
      <c r="U940" s="311">
        <f t="shared" ca="1" si="408"/>
        <v>0</v>
      </c>
      <c r="V940" s="306">
        <f t="shared" ca="1" si="409"/>
        <v>1.2264992435446538</v>
      </c>
      <c r="W940" s="304">
        <f t="shared" ca="1" si="410"/>
        <v>33.451513692537411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1.5996203387273624</v>
      </c>
      <c r="AH940" s="304">
        <f t="shared" ca="1" si="434"/>
        <v>-8.1902381708734531</v>
      </c>
    </row>
    <row r="941" spans="1:34" x14ac:dyDescent="0.2">
      <c r="A941" s="347">
        <f t="shared" ca="1" si="412"/>
        <v>1E-4</v>
      </c>
      <c r="B941" s="304">
        <f t="shared" ca="1" si="413"/>
        <v>41.640700000001644</v>
      </c>
      <c r="D941" s="306">
        <f t="shared" ca="1" si="414"/>
        <v>-0.52456376959794171</v>
      </c>
      <c r="E941" s="307">
        <f t="shared" ca="1" si="415"/>
        <v>-1.6365471686512905</v>
      </c>
      <c r="F941" s="304">
        <f t="shared" ca="1" si="416"/>
        <v>1.7185615448960092</v>
      </c>
      <c r="G941" s="306">
        <f t="shared" ca="1" si="417"/>
        <v>8.7527140008378765</v>
      </c>
      <c r="H941" s="307">
        <f t="shared" ca="1" si="418"/>
        <v>-136.38076774540636</v>
      </c>
      <c r="I941" s="304">
        <f t="shared" ca="1" si="419"/>
        <v>136.66134718056506</v>
      </c>
      <c r="J941" s="306">
        <f t="shared" ca="1" si="420"/>
        <v>712.18513894933824</v>
      </c>
      <c r="K941" s="307">
        <f t="shared" ca="1" si="421"/>
        <v>-12.244876145465248</v>
      </c>
      <c r="L941" s="304">
        <f t="shared" ca="1" si="406"/>
        <v>712.29039663054982</v>
      </c>
      <c r="M941" s="306">
        <f t="shared" ca="1" si="422"/>
        <v>-1.5067057176259278</v>
      </c>
      <c r="N941" s="304">
        <f t="shared" ca="1" si="423"/>
        <v>-86.327878588195631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4.0843000000000034</v>
      </c>
      <c r="T941" s="304">
        <f t="shared" ca="1" si="407"/>
        <v>40.066983000000036</v>
      </c>
      <c r="U941" s="311">
        <f t="shared" ca="1" si="408"/>
        <v>0</v>
      </c>
      <c r="V941" s="306">
        <f t="shared" ca="1" si="409"/>
        <v>1.2265009162545017</v>
      </c>
      <c r="W941" s="304">
        <f t="shared" ca="1" si="410"/>
        <v>33.451637622727262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1.5995902842700946</v>
      </c>
      <c r="AH941" s="304">
        <f t="shared" ca="1" si="434"/>
        <v>-8.1902685141976299</v>
      </c>
    </row>
    <row r="942" spans="1:34" x14ac:dyDescent="0.2">
      <c r="A942" s="347">
        <f t="shared" ca="1" si="412"/>
        <v>1E-4</v>
      </c>
      <c r="B942" s="304">
        <f t="shared" ca="1" si="413"/>
        <v>41.640800000001647</v>
      </c>
      <c r="D942" s="306">
        <f t="shared" ca="1" si="414"/>
        <v>-0.52456195521263183</v>
      </c>
      <c r="E942" s="307">
        <f t="shared" ca="1" si="415"/>
        <v>-1.6365166467130425</v>
      </c>
      <c r="F942" s="304">
        <f t="shared" ca="1" si="416"/>
        <v>1.7185319257509883</v>
      </c>
      <c r="G942" s="306">
        <f t="shared" ca="1" si="417"/>
        <v>8.7526615446423559</v>
      </c>
      <c r="H942" s="307">
        <f t="shared" ca="1" si="418"/>
        <v>-136.38093139707104</v>
      </c>
      <c r="I942" s="304">
        <f t="shared" ca="1" si="419"/>
        <v>136.66150713660252</v>
      </c>
      <c r="J942" s="306">
        <f t="shared" ca="1" si="420"/>
        <v>712.18513894933824</v>
      </c>
      <c r="K942" s="307">
        <f t="shared" ca="1" si="421"/>
        <v>-12.258514230422373</v>
      </c>
      <c r="L942" s="304">
        <f t="shared" ca="1" si="406"/>
        <v>712.29063121132356</v>
      </c>
      <c r="M942" s="306">
        <f t="shared" ca="1" si="422"/>
        <v>-1.5067061773739205</v>
      </c>
      <c r="N942" s="304">
        <f t="shared" ca="1" si="423"/>
        <v>-86.327904929815261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4.0843000000000034</v>
      </c>
      <c r="T942" s="304">
        <f t="shared" ca="1" si="407"/>
        <v>40.066983000000036</v>
      </c>
      <c r="U942" s="311">
        <f t="shared" ca="1" si="408"/>
        <v>0</v>
      </c>
      <c r="V942" s="306">
        <f t="shared" ca="1" si="409"/>
        <v>1.2265025889686396</v>
      </c>
      <c r="W942" s="304">
        <f t="shared" ca="1" si="410"/>
        <v>33.451761551868067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1.5995602300652081</v>
      </c>
      <c r="AH942" s="304">
        <f t="shared" ca="1" si="434"/>
        <v>-8.1902988572649491</v>
      </c>
    </row>
    <row r="943" spans="1:34" x14ac:dyDescent="0.2">
      <c r="A943" s="347">
        <f t="shared" ca="1" si="412"/>
        <v>1E-4</v>
      </c>
      <c r="B943" s="304">
        <f t="shared" ca="1" si="413"/>
        <v>41.64090000000165</v>
      </c>
      <c r="D943" s="306">
        <f t="shared" ca="1" si="414"/>
        <v>-0.5245601408142333</v>
      </c>
      <c r="E943" s="307">
        <f t="shared" ca="1" si="415"/>
        <v>-1.6364861250330645</v>
      </c>
      <c r="F943" s="304">
        <f t="shared" ca="1" si="416"/>
        <v>1.718502306881426</v>
      </c>
      <c r="G943" s="306">
        <f t="shared" ca="1" si="417"/>
        <v>8.7526090886282741</v>
      </c>
      <c r="H943" s="307">
        <f t="shared" ca="1" si="418"/>
        <v>-136.38109504568354</v>
      </c>
      <c r="I943" s="304">
        <f t="shared" ca="1" si="419"/>
        <v>136.66166708963456</v>
      </c>
      <c r="J943" s="306">
        <f t="shared" ca="1" si="420"/>
        <v>712.18513894933824</v>
      </c>
      <c r="K943" s="307">
        <f t="shared" ca="1" si="421"/>
        <v>-12.272152331744511</v>
      </c>
      <c r="L943" s="304">
        <f t="shared" ca="1" si="406"/>
        <v>712.29086605342752</v>
      </c>
      <c r="M943" s="306">
        <f t="shared" ca="1" si="422"/>
        <v>-1.5067066371180817</v>
      </c>
      <c r="N943" s="304">
        <f t="shared" ca="1" si="423"/>
        <v>-86.327931271215348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4.0843000000000034</v>
      </c>
      <c r="T943" s="304">
        <f t="shared" ca="1" si="407"/>
        <v>40.066983000000036</v>
      </c>
      <c r="U943" s="311">
        <f t="shared" ca="1" si="408"/>
        <v>0</v>
      </c>
      <c r="V943" s="306">
        <f t="shared" ca="1" si="409"/>
        <v>1.2265042616870674</v>
      </c>
      <c r="W943" s="304">
        <f t="shared" ca="1" si="410"/>
        <v>33.451885479959792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1.5995301761126939</v>
      </c>
      <c r="AH943" s="304">
        <f t="shared" ca="1" si="434"/>
        <v>-8.1903292000754195</v>
      </c>
    </row>
    <row r="944" spans="1:34" x14ac:dyDescent="0.2">
      <c r="A944" s="347">
        <f t="shared" ca="1" si="412"/>
        <v>1E-4</v>
      </c>
      <c r="B944" s="304">
        <f t="shared" ca="1" si="413"/>
        <v>41.641000000001654</v>
      </c>
      <c r="D944" s="306">
        <f t="shared" ca="1" si="414"/>
        <v>-0.52455832640274846</v>
      </c>
      <c r="E944" s="307">
        <f t="shared" ca="1" si="415"/>
        <v>-1.6364556036113669</v>
      </c>
      <c r="F944" s="304">
        <f t="shared" ca="1" si="416"/>
        <v>1.7184726882873338</v>
      </c>
      <c r="G944" s="306">
        <f t="shared" ca="1" si="417"/>
        <v>8.752556632795633</v>
      </c>
      <c r="H944" s="307">
        <f t="shared" ca="1" si="418"/>
        <v>-136.38125869124389</v>
      </c>
      <c r="I944" s="304">
        <f t="shared" ca="1" si="419"/>
        <v>136.66182703966123</v>
      </c>
      <c r="J944" s="306">
        <f t="shared" ca="1" si="420"/>
        <v>712.18513894933824</v>
      </c>
      <c r="K944" s="307">
        <f t="shared" ca="1" si="421"/>
        <v>-12.285790449431358</v>
      </c>
      <c r="L944" s="304">
        <f t="shared" ca="1" si="406"/>
        <v>712.2911011568624</v>
      </c>
      <c r="M944" s="306">
        <f t="shared" ca="1" si="422"/>
        <v>-1.5067070968584115</v>
      </c>
      <c r="N944" s="304">
        <f t="shared" ca="1" si="423"/>
        <v>-86.32795761239592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4.0843000000000034</v>
      </c>
      <c r="T944" s="304">
        <f t="shared" ca="1" si="407"/>
        <v>40.066983000000036</v>
      </c>
      <c r="U944" s="311">
        <f t="shared" ca="1" si="408"/>
        <v>0</v>
      </c>
      <c r="V944" s="306">
        <f t="shared" ca="1" si="409"/>
        <v>1.2265059344097848</v>
      </c>
      <c r="W944" s="304">
        <f t="shared" ca="1" si="410"/>
        <v>33.452009407002443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 t="e">
        <f t="shared" ca="1" si="411"/>
        <v>#N/A</v>
      </c>
      <c r="AG944" s="306">
        <f t="shared" ca="1" si="433"/>
        <v>1.5995001224125591</v>
      </c>
      <c r="AH944" s="304">
        <f t="shared" ca="1" si="434"/>
        <v>-8.1903595426290341</v>
      </c>
    </row>
    <row r="945" spans="1:34" x14ac:dyDescent="0.2">
      <c r="A945" s="347">
        <f t="shared" ca="1" si="412"/>
        <v>1E-4</v>
      </c>
      <c r="B945" s="304">
        <f t="shared" ca="1" si="413"/>
        <v>41.641100000001657</v>
      </c>
      <c r="D945" s="306">
        <f t="shared" ca="1" si="414"/>
        <v>-0.52455651197817588</v>
      </c>
      <c r="E945" s="307">
        <f t="shared" ca="1" si="415"/>
        <v>-1.636425082447948</v>
      </c>
      <c r="F945" s="304">
        <f t="shared" ca="1" si="416"/>
        <v>1.7184430699687097</v>
      </c>
      <c r="G945" s="306">
        <f t="shared" ca="1" si="417"/>
        <v>8.7525041771444361</v>
      </c>
      <c r="H945" s="307">
        <f t="shared" ca="1" si="418"/>
        <v>-136.38142233375214</v>
      </c>
      <c r="I945" s="304">
        <f t="shared" ca="1" si="419"/>
        <v>136.66198698668256</v>
      </c>
      <c r="J945" s="306">
        <f t="shared" ca="1" si="420"/>
        <v>712.18513894933824</v>
      </c>
      <c r="K945" s="307">
        <f t="shared" ca="1" si="421"/>
        <v>-12.299428583482609</v>
      </c>
      <c r="L945" s="304">
        <f t="shared" ca="1" si="406"/>
        <v>712.29133652162898</v>
      </c>
      <c r="M945" s="306">
        <f t="shared" ca="1" si="422"/>
        <v>-1.5067075565949097</v>
      </c>
      <c r="N945" s="304">
        <f t="shared" ca="1" si="423"/>
        <v>-86.327983953356949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4.0843000000000034</v>
      </c>
      <c r="T945" s="304">
        <f t="shared" ca="1" si="407"/>
        <v>40.066983000000036</v>
      </c>
      <c r="U945" s="311">
        <f t="shared" ca="1" si="408"/>
        <v>0</v>
      </c>
      <c r="V945" s="306">
        <f t="shared" ca="1" si="409"/>
        <v>1.2265076071367922</v>
      </c>
      <c r="W945" s="304">
        <f t="shared" ca="1" si="410"/>
        <v>33.452133332996048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1.5994700689648056</v>
      </c>
      <c r="AH945" s="304">
        <f t="shared" ca="1" si="434"/>
        <v>-8.1903898849257928</v>
      </c>
    </row>
    <row r="946" spans="1:34" x14ac:dyDescent="0.2">
      <c r="A946" s="347">
        <f t="shared" ca="1" si="412"/>
        <v>1E-4</v>
      </c>
      <c r="B946" s="304">
        <f t="shared" ca="1" si="413"/>
        <v>41.64120000000166</v>
      </c>
      <c r="D946" s="306">
        <f t="shared" ca="1" si="414"/>
        <v>-0.52455469754051876</v>
      </c>
      <c r="E946" s="307">
        <f t="shared" ca="1" si="415"/>
        <v>-1.6363945615428026</v>
      </c>
      <c r="F946" s="304">
        <f t="shared" ca="1" si="416"/>
        <v>1.7184134519255505</v>
      </c>
      <c r="G946" s="306">
        <f t="shared" ca="1" si="417"/>
        <v>8.7524517216746816</v>
      </c>
      <c r="H946" s="307">
        <f t="shared" ca="1" si="418"/>
        <v>-136.3815859732083</v>
      </c>
      <c r="I946" s="304">
        <f t="shared" ca="1" si="419"/>
        <v>136.66214693069858</v>
      </c>
      <c r="J946" s="306">
        <f t="shared" ca="1" si="420"/>
        <v>712.18513894933824</v>
      </c>
      <c r="K946" s="307">
        <f t="shared" ca="1" si="421"/>
        <v>-12.313066733897957</v>
      </c>
      <c r="L946" s="304">
        <f t="shared" ca="1" si="406"/>
        <v>712.29157214772772</v>
      </c>
      <c r="M946" s="306">
        <f t="shared" ca="1" si="422"/>
        <v>-1.5067080163275766</v>
      </c>
      <c r="N946" s="304">
        <f t="shared" ca="1" si="423"/>
        <v>-86.328010294098462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4.0843000000000034</v>
      </c>
      <c r="T946" s="304">
        <f t="shared" ca="1" si="407"/>
        <v>40.066983000000036</v>
      </c>
      <c r="U946" s="311">
        <f t="shared" ca="1" si="408"/>
        <v>0</v>
      </c>
      <c r="V946" s="306">
        <f t="shared" ca="1" si="409"/>
        <v>1.2265092798680897</v>
      </c>
      <c r="W946" s="304">
        <f t="shared" ca="1" si="410"/>
        <v>33.452257257940602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1.5994400157694209</v>
      </c>
      <c r="AH946" s="304">
        <f t="shared" ca="1" si="434"/>
        <v>-8.1904202269657027</v>
      </c>
    </row>
    <row r="947" spans="1:34" x14ac:dyDescent="0.2">
      <c r="A947" s="347">
        <f t="shared" ca="1" si="412"/>
        <v>1E-4</v>
      </c>
      <c r="B947" s="304">
        <f t="shared" ca="1" si="413"/>
        <v>41.641300000001664</v>
      </c>
      <c r="D947" s="306">
        <f t="shared" ca="1" si="414"/>
        <v>-0.52455288308977588</v>
      </c>
      <c r="E947" s="307">
        <f t="shared" ca="1" si="415"/>
        <v>-1.636364040895927</v>
      </c>
      <c r="F947" s="304">
        <f t="shared" ca="1" si="416"/>
        <v>1.718383834157853</v>
      </c>
      <c r="G947" s="306">
        <f t="shared" ca="1" si="417"/>
        <v>8.752399266386373</v>
      </c>
      <c r="H947" s="307">
        <f t="shared" ca="1" si="418"/>
        <v>-136.3817496096124</v>
      </c>
      <c r="I947" s="304">
        <f t="shared" ca="1" si="419"/>
        <v>136.66230687170932</v>
      </c>
      <c r="J947" s="306">
        <f t="shared" ca="1" si="420"/>
        <v>712.18513894933824</v>
      </c>
      <c r="K947" s="307">
        <f t="shared" ca="1" si="421"/>
        <v>-12.326704900677099</v>
      </c>
      <c r="L947" s="304">
        <f t="shared" ca="1" si="406"/>
        <v>712.29180803515953</v>
      </c>
      <c r="M947" s="306">
        <f t="shared" ca="1" si="422"/>
        <v>-1.506708476056412</v>
      </c>
      <c r="N947" s="304">
        <f t="shared" ca="1" si="423"/>
        <v>-86.32803663462046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4.0843000000000034</v>
      </c>
      <c r="T947" s="304">
        <f t="shared" ca="1" si="407"/>
        <v>40.066983000000036</v>
      </c>
      <c r="U947" s="311">
        <f t="shared" ca="1" si="408"/>
        <v>0</v>
      </c>
      <c r="V947" s="306">
        <f t="shared" ca="1" si="409"/>
        <v>1.2265109526036762</v>
      </c>
      <c r="W947" s="304">
        <f t="shared" ca="1" si="410"/>
        <v>33.452381181836088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1.5994099628264085</v>
      </c>
      <c r="AH947" s="304">
        <f t="shared" ca="1" si="434"/>
        <v>-8.1904505687487639</v>
      </c>
    </row>
    <row r="948" spans="1:34" x14ac:dyDescent="0.2">
      <c r="A948" s="347">
        <f t="shared" ca="1" si="412"/>
        <v>1E-4</v>
      </c>
      <c r="B948" s="304">
        <f t="shared" ca="1" si="413"/>
        <v>41.641400000001667</v>
      </c>
      <c r="D948" s="306">
        <f t="shared" ca="1" si="414"/>
        <v>-0.52455106862594769</v>
      </c>
      <c r="E948" s="307">
        <f t="shared" ca="1" si="415"/>
        <v>-1.6363335205073302</v>
      </c>
      <c r="F948" s="304">
        <f t="shared" ca="1" si="416"/>
        <v>1.718354216665626</v>
      </c>
      <c r="G948" s="306">
        <f t="shared" ca="1" si="417"/>
        <v>8.7523468112795104</v>
      </c>
      <c r="H948" s="307">
        <f t="shared" ca="1" si="418"/>
        <v>-136.38191324296446</v>
      </c>
      <c r="I948" s="304">
        <f t="shared" ca="1" si="419"/>
        <v>136.6624668097148</v>
      </c>
      <c r="J948" s="306">
        <f t="shared" ca="1" si="420"/>
        <v>712.18513894933824</v>
      </c>
      <c r="K948" s="307">
        <f t="shared" ca="1" si="421"/>
        <v>-12.340343083819727</v>
      </c>
      <c r="L948" s="304">
        <f t="shared" ca="1" si="406"/>
        <v>712.2920441839251</v>
      </c>
      <c r="M948" s="306">
        <f t="shared" ca="1" si="422"/>
        <v>-1.5067089357814163</v>
      </c>
      <c r="N948" s="304">
        <f t="shared" ca="1" si="423"/>
        <v>-86.328062974922943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4.0843000000000034</v>
      </c>
      <c r="T948" s="304">
        <f t="shared" ca="1" si="407"/>
        <v>40.066983000000036</v>
      </c>
      <c r="U948" s="311">
        <f t="shared" ca="1" si="408"/>
        <v>0</v>
      </c>
      <c r="V948" s="306">
        <f t="shared" ca="1" si="409"/>
        <v>1.2265126253435528</v>
      </c>
      <c r="W948" s="304">
        <f t="shared" ca="1" si="410"/>
        <v>33.452505104682537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1.5993799101357773</v>
      </c>
      <c r="AH948" s="304">
        <f t="shared" ca="1" si="434"/>
        <v>-8.1904809102749709</v>
      </c>
    </row>
    <row r="949" spans="1:34" x14ac:dyDescent="0.2">
      <c r="A949" s="347">
        <f t="shared" ca="1" si="412"/>
        <v>1E-4</v>
      </c>
      <c r="B949" s="304">
        <f t="shared" ca="1" si="413"/>
        <v>41.64150000000167</v>
      </c>
      <c r="D949" s="306">
        <f t="shared" ca="1" si="414"/>
        <v>-0.52454925414903353</v>
      </c>
      <c r="E949" s="307">
        <f t="shared" ca="1" si="415"/>
        <v>-1.6363030003770049</v>
      </c>
      <c r="F949" s="304">
        <f t="shared" ca="1" si="416"/>
        <v>1.7183245994488632</v>
      </c>
      <c r="G949" s="306">
        <f t="shared" ca="1" si="417"/>
        <v>8.7522943563540956</v>
      </c>
      <c r="H949" s="307">
        <f t="shared" ca="1" si="418"/>
        <v>-136.38207687326451</v>
      </c>
      <c r="I949" s="304">
        <f t="shared" ca="1" si="419"/>
        <v>136.66262674471503</v>
      </c>
      <c r="J949" s="306">
        <f t="shared" ca="1" si="420"/>
        <v>712.18513894933824</v>
      </c>
      <c r="K949" s="307">
        <f t="shared" ca="1" si="421"/>
        <v>-12.353981283325538</v>
      </c>
      <c r="L949" s="304">
        <f t="shared" ca="1" si="406"/>
        <v>712.29228059402476</v>
      </c>
      <c r="M949" s="306">
        <f t="shared" ca="1" si="422"/>
        <v>-1.5067093955025892</v>
      </c>
      <c r="N949" s="304">
        <f t="shared" ca="1" si="423"/>
        <v>-86.328089315005897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4.0843000000000034</v>
      </c>
      <c r="T949" s="304">
        <f t="shared" ca="1" si="407"/>
        <v>40.066983000000036</v>
      </c>
      <c r="U949" s="311">
        <f t="shared" ca="1" si="408"/>
        <v>0</v>
      </c>
      <c r="V949" s="306">
        <f t="shared" ca="1" si="409"/>
        <v>1.2265142980877191</v>
      </c>
      <c r="W949" s="304">
        <f t="shared" ca="1" si="410"/>
        <v>33.452629026479919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1.5993498576975149</v>
      </c>
      <c r="AH949" s="304">
        <f t="shared" ca="1" si="434"/>
        <v>-8.190511251544331</v>
      </c>
    </row>
    <row r="950" spans="1:34" x14ac:dyDescent="0.2">
      <c r="A950" s="347">
        <f t="shared" ca="1" si="412"/>
        <v>1E-4</v>
      </c>
      <c r="B950" s="304">
        <f t="shared" ca="1" si="413"/>
        <v>41.641600000001674</v>
      </c>
      <c r="D950" s="306">
        <f t="shared" ca="1" si="414"/>
        <v>-0.52454743965903539</v>
      </c>
      <c r="E950" s="307">
        <f t="shared" ca="1" si="415"/>
        <v>-1.6362724805049549</v>
      </c>
      <c r="F950" s="304">
        <f t="shared" ca="1" si="416"/>
        <v>1.7182949825075691</v>
      </c>
      <c r="G950" s="306">
        <f t="shared" ca="1" si="417"/>
        <v>8.7522419016101303</v>
      </c>
      <c r="H950" s="307">
        <f t="shared" ca="1" si="418"/>
        <v>-136.38224050051255</v>
      </c>
      <c r="I950" s="304">
        <f t="shared" ca="1" si="419"/>
        <v>136.66278667671</v>
      </c>
      <c r="J950" s="306">
        <f t="shared" ca="1" si="420"/>
        <v>712.18513894933824</v>
      </c>
      <c r="K950" s="307">
        <f t="shared" ca="1" si="421"/>
        <v>-12.367619499194227</v>
      </c>
      <c r="L950" s="304">
        <f t="shared" ca="1" si="406"/>
        <v>712.29251726545965</v>
      </c>
      <c r="M950" s="306">
        <f t="shared" ca="1" si="422"/>
        <v>-1.5067098552199309</v>
      </c>
      <c r="N950" s="304">
        <f t="shared" ca="1" si="423"/>
        <v>-86.32811565486935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4.0843000000000034</v>
      </c>
      <c r="T950" s="304">
        <f t="shared" ca="1" si="407"/>
        <v>40.066983000000036</v>
      </c>
      <c r="U950" s="311">
        <f t="shared" ca="1" si="408"/>
        <v>0</v>
      </c>
      <c r="V950" s="306">
        <f t="shared" ca="1" si="409"/>
        <v>1.226515970836175</v>
      </c>
      <c r="W950" s="304">
        <f t="shared" ca="1" si="410"/>
        <v>33.452752947228241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1.5993198055116284</v>
      </c>
      <c r="AH950" s="304">
        <f t="shared" ca="1" si="434"/>
        <v>-8.190541592556837</v>
      </c>
    </row>
    <row r="951" spans="1:34" x14ac:dyDescent="0.2">
      <c r="A951" s="347">
        <f t="shared" ca="1" si="412"/>
        <v>1E-4</v>
      </c>
      <c r="B951" s="304">
        <f t="shared" ca="1" si="413"/>
        <v>41.641700000001677</v>
      </c>
      <c r="D951" s="306">
        <f t="shared" ca="1" si="414"/>
        <v>-0.52454562515595238</v>
      </c>
      <c r="E951" s="307">
        <f t="shared" ca="1" si="415"/>
        <v>-1.6362419608911782</v>
      </c>
      <c r="F951" s="304">
        <f t="shared" ca="1" si="416"/>
        <v>1.7182653658417424</v>
      </c>
      <c r="G951" s="306">
        <f t="shared" ca="1" si="417"/>
        <v>8.7521894470476145</v>
      </c>
      <c r="H951" s="307">
        <f t="shared" ca="1" si="418"/>
        <v>-136.38240412470864</v>
      </c>
      <c r="I951" s="304">
        <f t="shared" ca="1" si="419"/>
        <v>136.6629466056998</v>
      </c>
      <c r="J951" s="306">
        <f t="shared" ca="1" si="420"/>
        <v>712.18513894933824</v>
      </c>
      <c r="K951" s="307">
        <f t="shared" ca="1" si="421"/>
        <v>-12.381257731425487</v>
      </c>
      <c r="L951" s="304">
        <f t="shared" ca="1" si="406"/>
        <v>712.29275419823011</v>
      </c>
      <c r="M951" s="306">
        <f t="shared" ca="1" si="422"/>
        <v>-1.5067103149334413</v>
      </c>
      <c r="N951" s="304">
        <f t="shared" ca="1" si="423"/>
        <v>-86.328141994513288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4.0843000000000034</v>
      </c>
      <c r="T951" s="304">
        <f t="shared" ca="1" si="407"/>
        <v>40.066983000000036</v>
      </c>
      <c r="U951" s="311">
        <f t="shared" ca="1" si="408"/>
        <v>0</v>
      </c>
      <c r="V951" s="306">
        <f t="shared" ca="1" si="409"/>
        <v>1.2265176435889205</v>
      </c>
      <c r="W951" s="304">
        <f t="shared" ca="1" si="410"/>
        <v>33.452876866927511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1.5992897535781214</v>
      </c>
      <c r="AH951" s="304">
        <f t="shared" ca="1" si="434"/>
        <v>-8.1905719333124924</v>
      </c>
    </row>
    <row r="952" spans="1:34" x14ac:dyDescent="0.2">
      <c r="A952" s="347">
        <f t="shared" ca="1" si="412"/>
        <v>1E-4</v>
      </c>
      <c r="B952" s="304">
        <f t="shared" ca="1" si="413"/>
        <v>41.64180000000168</v>
      </c>
      <c r="D952" s="306">
        <f t="shared" ca="1" si="414"/>
        <v>-0.52454381063978706</v>
      </c>
      <c r="E952" s="307">
        <f t="shared" ca="1" si="415"/>
        <v>-1.6362114415356768</v>
      </c>
      <c r="F952" s="304">
        <f t="shared" ca="1" si="416"/>
        <v>1.718235749451386</v>
      </c>
      <c r="G952" s="306">
        <f t="shared" ca="1" si="417"/>
        <v>8.75213699266655</v>
      </c>
      <c r="H952" s="307">
        <f t="shared" ca="1" si="418"/>
        <v>-136.38256774585278</v>
      </c>
      <c r="I952" s="304">
        <f t="shared" ca="1" si="419"/>
        <v>136.66310653168443</v>
      </c>
      <c r="J952" s="306">
        <f t="shared" ca="1" si="420"/>
        <v>712.18513894933824</v>
      </c>
      <c r="K952" s="307">
        <f t="shared" ca="1" si="421"/>
        <v>-12.394895980019015</v>
      </c>
      <c r="L952" s="304">
        <f t="shared" ca="1" si="406"/>
        <v>712.29299139233683</v>
      </c>
      <c r="M952" s="306">
        <f t="shared" ca="1" si="422"/>
        <v>-1.5067107746431208</v>
      </c>
      <c r="N952" s="304">
        <f t="shared" ca="1" si="423"/>
        <v>-86.328168333937711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4.0843000000000034</v>
      </c>
      <c r="T952" s="304">
        <f t="shared" ca="1" si="407"/>
        <v>40.066983000000036</v>
      </c>
      <c r="U952" s="311">
        <f t="shared" ca="1" si="408"/>
        <v>0</v>
      </c>
      <c r="V952" s="306">
        <f t="shared" ca="1" si="409"/>
        <v>1.2265193163459558</v>
      </c>
      <c r="W952" s="304">
        <f t="shared" ca="1" si="410"/>
        <v>33.453000785577743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1.599259701896985</v>
      </c>
      <c r="AH952" s="304">
        <f t="shared" ca="1" si="434"/>
        <v>-8.1906022738112974</v>
      </c>
    </row>
    <row r="953" spans="1:34" x14ac:dyDescent="0.2">
      <c r="A953" s="347">
        <f t="shared" ca="1" si="412"/>
        <v>1E-4</v>
      </c>
      <c r="B953" s="304">
        <f t="shared" ca="1" si="413"/>
        <v>41.641900000001684</v>
      </c>
      <c r="D953" s="306">
        <f t="shared" ca="1" si="414"/>
        <v>-0.52454199611053698</v>
      </c>
      <c r="E953" s="307">
        <f t="shared" ca="1" si="415"/>
        <v>-1.6361809224384434</v>
      </c>
      <c r="F953" s="304">
        <f t="shared" ca="1" si="416"/>
        <v>1.7182061333364929</v>
      </c>
      <c r="G953" s="306">
        <f t="shared" ca="1" si="417"/>
        <v>8.7520845384669386</v>
      </c>
      <c r="H953" s="307">
        <f t="shared" ca="1" si="418"/>
        <v>-136.38273136394503</v>
      </c>
      <c r="I953" s="304">
        <f t="shared" ca="1" si="419"/>
        <v>136.66326645466393</v>
      </c>
      <c r="J953" s="306">
        <f t="shared" ca="1" si="420"/>
        <v>712.18513894933824</v>
      </c>
      <c r="K953" s="307">
        <f t="shared" ca="1" si="421"/>
        <v>-12.408534244974506</v>
      </c>
      <c r="L953" s="304">
        <f t="shared" ca="1" si="406"/>
        <v>712.29322884778071</v>
      </c>
      <c r="M953" s="306">
        <f t="shared" ca="1" si="422"/>
        <v>-1.5067112343489693</v>
      </c>
      <c r="N953" s="304">
        <f t="shared" ca="1" si="423"/>
        <v>-86.328194673142647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4.0843000000000034</v>
      </c>
      <c r="T953" s="304">
        <f t="shared" ca="1" si="407"/>
        <v>40.066983000000036</v>
      </c>
      <c r="U953" s="311">
        <f t="shared" ca="1" si="408"/>
        <v>0</v>
      </c>
      <c r="V953" s="306">
        <f t="shared" ca="1" si="409"/>
        <v>1.2265209891072808</v>
      </c>
      <c r="W953" s="304">
        <f t="shared" ca="1" si="410"/>
        <v>33.453124703178929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1.5992296504682191</v>
      </c>
      <c r="AH953" s="304">
        <f t="shared" ca="1" si="434"/>
        <v>-8.190632614053257</v>
      </c>
    </row>
    <row r="954" spans="1:34" x14ac:dyDescent="0.2">
      <c r="A954" s="347">
        <f t="shared" ca="1" si="412"/>
        <v>1E-4</v>
      </c>
      <c r="B954" s="304">
        <f t="shared" ca="1" si="413"/>
        <v>41.642000000001687</v>
      </c>
      <c r="D954" s="306">
        <f t="shared" ca="1" si="414"/>
        <v>-0.52454018156820226</v>
      </c>
      <c r="E954" s="307">
        <f t="shared" ca="1" si="415"/>
        <v>-1.6361504035994834</v>
      </c>
      <c r="F954" s="304">
        <f t="shared" ca="1" si="416"/>
        <v>1.7181765174970689</v>
      </c>
      <c r="G954" s="306">
        <f t="shared" ca="1" si="417"/>
        <v>8.752032084448782</v>
      </c>
      <c r="H954" s="307">
        <f t="shared" ca="1" si="418"/>
        <v>-136.38289497898538</v>
      </c>
      <c r="I954" s="304">
        <f t="shared" ca="1" si="419"/>
        <v>136.66342637463828</v>
      </c>
      <c r="J954" s="306">
        <f t="shared" ca="1" si="420"/>
        <v>712.18513894933824</v>
      </c>
      <c r="K954" s="307">
        <f t="shared" ca="1" si="421"/>
        <v>-12.422172526291652</v>
      </c>
      <c r="L954" s="304">
        <f t="shared" ca="1" si="406"/>
        <v>712.29346656456221</v>
      </c>
      <c r="M954" s="306">
        <f t="shared" ca="1" si="422"/>
        <v>-1.5067116940509864</v>
      </c>
      <c r="N954" s="304">
        <f t="shared" ca="1" si="423"/>
        <v>-86.328221012128068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4.0843000000000034</v>
      </c>
      <c r="T954" s="304">
        <f t="shared" ca="1" si="407"/>
        <v>40.066983000000036</v>
      </c>
      <c r="U954" s="311">
        <f t="shared" ca="1" si="408"/>
        <v>0</v>
      </c>
      <c r="V954" s="306">
        <f t="shared" ca="1" si="409"/>
        <v>1.2265226618728948</v>
      </c>
      <c r="W954" s="304">
        <f t="shared" ca="1" si="410"/>
        <v>33.453248619731049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1.5991995992918291</v>
      </c>
      <c r="AH954" s="304">
        <f t="shared" ca="1" si="434"/>
        <v>-8.1906629540383662</v>
      </c>
    </row>
    <row r="955" spans="1:34" x14ac:dyDescent="0.2">
      <c r="A955" s="347">
        <f t="shared" ca="1" si="412"/>
        <v>1E-4</v>
      </c>
      <c r="B955" s="304">
        <f t="shared" ca="1" si="413"/>
        <v>41.64210000000169</v>
      </c>
      <c r="D955" s="306">
        <f t="shared" ca="1" si="414"/>
        <v>-0.52453836701278722</v>
      </c>
      <c r="E955" s="307">
        <f t="shared" ca="1" si="415"/>
        <v>-1.6361198850187986</v>
      </c>
      <c r="F955" s="304">
        <f t="shared" ca="1" si="416"/>
        <v>1.718146901933117</v>
      </c>
      <c r="G955" s="306">
        <f t="shared" ca="1" si="417"/>
        <v>8.7519796306120803</v>
      </c>
      <c r="H955" s="307">
        <f t="shared" ca="1" si="418"/>
        <v>-136.38305859097389</v>
      </c>
      <c r="I955" s="304">
        <f t="shared" ca="1" si="419"/>
        <v>136.66358629160754</v>
      </c>
      <c r="J955" s="306">
        <f t="shared" ca="1" si="420"/>
        <v>712.18513894933824</v>
      </c>
      <c r="K955" s="307">
        <f t="shared" ca="1" si="421"/>
        <v>-12.435810823970149</v>
      </c>
      <c r="L955" s="304">
        <f t="shared" ca="1" si="406"/>
        <v>712.29370454268212</v>
      </c>
      <c r="M955" s="306">
        <f t="shared" ca="1" si="422"/>
        <v>-1.5067121537491728</v>
      </c>
      <c r="N955" s="304">
        <f t="shared" ca="1" si="423"/>
        <v>-86.328247350894003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4.0843000000000034</v>
      </c>
      <c r="T955" s="304">
        <f t="shared" ca="1" si="407"/>
        <v>40.066983000000036</v>
      </c>
      <c r="U955" s="311">
        <f t="shared" ca="1" si="408"/>
        <v>0</v>
      </c>
      <c r="V955" s="306">
        <f t="shared" ca="1" si="409"/>
        <v>1.2265243346427988</v>
      </c>
      <c r="W955" s="304">
        <f t="shared" ca="1" si="410"/>
        <v>33.453372535234131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1.599169548367815</v>
      </c>
      <c r="AH955" s="304">
        <f t="shared" ca="1" si="434"/>
        <v>-8.190693293766623</v>
      </c>
    </row>
    <row r="956" spans="1:34" x14ac:dyDescent="0.2">
      <c r="A956" s="347">
        <f t="shared" ca="1" si="412"/>
        <v>1E-4</v>
      </c>
      <c r="B956" s="304">
        <f t="shared" ca="1" si="413"/>
        <v>41.642200000001694</v>
      </c>
      <c r="D956" s="306">
        <f t="shared" ca="1" si="414"/>
        <v>-0.52453655244428765</v>
      </c>
      <c r="E956" s="307">
        <f t="shared" ca="1" si="415"/>
        <v>-1.6360893666963836</v>
      </c>
      <c r="F956" s="304">
        <f t="shared" ca="1" si="416"/>
        <v>1.7181172866446319</v>
      </c>
      <c r="G956" s="306">
        <f t="shared" ca="1" si="417"/>
        <v>8.7519271769568352</v>
      </c>
      <c r="H956" s="307">
        <f t="shared" ca="1" si="418"/>
        <v>-136.38322219991056</v>
      </c>
      <c r="I956" s="304">
        <f t="shared" ca="1" si="419"/>
        <v>136.66374620557178</v>
      </c>
      <c r="J956" s="306">
        <f t="shared" ca="1" si="420"/>
        <v>712.18513894933824</v>
      </c>
      <c r="K956" s="307">
        <f t="shared" ca="1" si="421"/>
        <v>-12.449449138009694</v>
      </c>
      <c r="L956" s="304">
        <f t="shared" ca="1" si="406"/>
        <v>712.29394278214113</v>
      </c>
      <c r="M956" s="306">
        <f t="shared" ca="1" si="422"/>
        <v>-1.5067126134435282</v>
      </c>
      <c r="N956" s="304">
        <f t="shared" ca="1" si="423"/>
        <v>-86.328273689440437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4.0843000000000034</v>
      </c>
      <c r="T956" s="304">
        <f t="shared" ca="1" si="407"/>
        <v>40.066983000000036</v>
      </c>
      <c r="U956" s="311">
        <f t="shared" ca="1" si="408"/>
        <v>0</v>
      </c>
      <c r="V956" s="306">
        <f t="shared" ca="1" si="409"/>
        <v>1.2265260074169924</v>
      </c>
      <c r="W956" s="304">
        <f t="shared" ca="1" si="410"/>
        <v>33.453496449688195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1.5991394976961679</v>
      </c>
      <c r="AH956" s="304">
        <f t="shared" ca="1" si="434"/>
        <v>-8.1907236332380347</v>
      </c>
    </row>
    <row r="957" spans="1:34" x14ac:dyDescent="0.2">
      <c r="A957" s="347">
        <f t="shared" ca="1" si="412"/>
        <v>1E-4</v>
      </c>
      <c r="B957" s="304">
        <f t="shared" ca="1" si="413"/>
        <v>41.642300000001697</v>
      </c>
      <c r="D957" s="306">
        <f t="shared" ca="1" si="414"/>
        <v>-0.5245347378627061</v>
      </c>
      <c r="E957" s="307">
        <f t="shared" ca="1" si="415"/>
        <v>-1.6360588486322349</v>
      </c>
      <c r="F957" s="304">
        <f t="shared" ca="1" si="416"/>
        <v>1.7180876716316116</v>
      </c>
      <c r="G957" s="306">
        <f t="shared" ca="1" si="417"/>
        <v>8.7518747234830485</v>
      </c>
      <c r="H957" s="307">
        <f t="shared" ca="1" si="418"/>
        <v>-136.38338580579543</v>
      </c>
      <c r="I957" s="304">
        <f t="shared" ca="1" si="419"/>
        <v>136.66390611653094</v>
      </c>
      <c r="J957" s="306">
        <f t="shared" ca="1" si="420"/>
        <v>712.18513894933824</v>
      </c>
      <c r="K957" s="307">
        <f t="shared" ca="1" si="421"/>
        <v>-12.463087468409979</v>
      </c>
      <c r="L957" s="304">
        <f t="shared" ca="1" si="406"/>
        <v>712.2941812829398</v>
      </c>
      <c r="M957" s="306">
        <f t="shared" ca="1" si="422"/>
        <v>-1.5067130731340526</v>
      </c>
      <c r="N957" s="304">
        <f t="shared" ca="1" si="423"/>
        <v>-86.328300027767355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4.0843000000000034</v>
      </c>
      <c r="T957" s="304">
        <f t="shared" ca="1" si="407"/>
        <v>40.066983000000036</v>
      </c>
      <c r="U957" s="311">
        <f t="shared" ca="1" si="408"/>
        <v>0</v>
      </c>
      <c r="V957" s="306">
        <f t="shared" ca="1" si="409"/>
        <v>1.2265276801954754</v>
      </c>
      <c r="W957" s="304">
        <f t="shared" ca="1" si="410"/>
        <v>33.453620363093201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1.5991094472768932</v>
      </c>
      <c r="AH957" s="304">
        <f t="shared" ca="1" si="434"/>
        <v>-8.1907539724526028</v>
      </c>
    </row>
    <row r="958" spans="1:34" x14ac:dyDescent="0.2">
      <c r="A958" s="347">
        <f t="shared" ca="1" si="412"/>
        <v>1E-4</v>
      </c>
      <c r="B958" s="304">
        <f t="shared" ca="1" si="413"/>
        <v>41.6424000000017</v>
      </c>
      <c r="D958" s="306">
        <f t="shared" ca="1" si="414"/>
        <v>-0.52453292326804457</v>
      </c>
      <c r="E958" s="307">
        <f t="shared" ca="1" si="415"/>
        <v>-1.6360283308263597</v>
      </c>
      <c r="F958" s="304">
        <f t="shared" ca="1" si="416"/>
        <v>1.7180580568940633</v>
      </c>
      <c r="G958" s="306">
        <f t="shared" ca="1" si="417"/>
        <v>8.751822270190722</v>
      </c>
      <c r="H958" s="307">
        <f t="shared" ca="1" si="418"/>
        <v>-136.38354940862851</v>
      </c>
      <c r="I958" s="304">
        <f t="shared" ca="1" si="419"/>
        <v>136.66406602448509</v>
      </c>
      <c r="J958" s="306">
        <f t="shared" ca="1" si="420"/>
        <v>712.18513894933824</v>
      </c>
      <c r="K958" s="307">
        <f t="shared" ca="1" si="421"/>
        <v>-12.476725815170701</v>
      </c>
      <c r="L958" s="304">
        <f t="shared" ca="1" si="406"/>
        <v>712.29442004507882</v>
      </c>
      <c r="M958" s="306">
        <f t="shared" ca="1" si="422"/>
        <v>-1.5067135328207462</v>
      </c>
      <c r="N958" s="304">
        <f t="shared" ca="1" si="423"/>
        <v>-86.328326365874801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4.0843000000000034</v>
      </c>
      <c r="T958" s="304">
        <f t="shared" ca="1" si="407"/>
        <v>40.066983000000036</v>
      </c>
      <c r="U958" s="311">
        <f t="shared" ca="1" si="408"/>
        <v>0</v>
      </c>
      <c r="V958" s="306">
        <f t="shared" ca="1" si="409"/>
        <v>1.2265293529782477</v>
      </c>
      <c r="W958" s="304">
        <f t="shared" ca="1" si="410"/>
        <v>33.453744275449161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1.5990793971099908</v>
      </c>
      <c r="AH958" s="304">
        <f t="shared" ca="1" si="434"/>
        <v>-8.1907843114103205</v>
      </c>
    </row>
    <row r="959" spans="1:34" x14ac:dyDescent="0.2">
      <c r="A959" s="347">
        <f t="shared" ca="1" si="412"/>
        <v>1E-4</v>
      </c>
      <c r="B959" s="304">
        <f t="shared" ca="1" si="413"/>
        <v>41.642500000001704</v>
      </c>
      <c r="D959" s="306">
        <f t="shared" ca="1" si="414"/>
        <v>-0.52453110866030039</v>
      </c>
      <c r="E959" s="307">
        <f t="shared" ca="1" si="415"/>
        <v>-1.635997813278756</v>
      </c>
      <c r="F959" s="304">
        <f t="shared" ca="1" si="416"/>
        <v>1.7180284424319858</v>
      </c>
      <c r="G959" s="306">
        <f t="shared" ca="1" si="417"/>
        <v>8.7517698170798557</v>
      </c>
      <c r="H959" s="307">
        <f t="shared" ca="1" si="418"/>
        <v>-136.38371300840984</v>
      </c>
      <c r="I959" s="304">
        <f t="shared" ca="1" si="419"/>
        <v>136.66422592943425</v>
      </c>
      <c r="J959" s="306">
        <f t="shared" ca="1" si="420"/>
        <v>712.18513894933824</v>
      </c>
      <c r="K959" s="307">
        <f t="shared" ca="1" si="421"/>
        <v>-12.490364178291554</v>
      </c>
      <c r="L959" s="304">
        <f t="shared" ca="1" si="406"/>
        <v>712.29465906855887</v>
      </c>
      <c r="M959" s="306">
        <f t="shared" ca="1" si="422"/>
        <v>-1.506713992503609</v>
      </c>
      <c r="N959" s="304">
        <f t="shared" ca="1" si="423"/>
        <v>-86.328352703762761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4.0843000000000034</v>
      </c>
      <c r="T959" s="304">
        <f t="shared" ca="1" si="407"/>
        <v>40.066983000000036</v>
      </c>
      <c r="U959" s="311">
        <f t="shared" ca="1" si="408"/>
        <v>0</v>
      </c>
      <c r="V959" s="306">
        <f t="shared" ca="1" si="409"/>
        <v>1.2265310257653095</v>
      </c>
      <c r="W959" s="304">
        <f t="shared" ca="1" si="410"/>
        <v>33.453868186756083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1.5990493471954625</v>
      </c>
      <c r="AH959" s="304">
        <f t="shared" ca="1" si="434"/>
        <v>-8.1908146501111894</v>
      </c>
    </row>
    <row r="960" spans="1:34" x14ac:dyDescent="0.2">
      <c r="A960" s="347">
        <f t="shared" ca="1" si="412"/>
        <v>1E-4</v>
      </c>
      <c r="B960" s="304">
        <f t="shared" ca="1" si="413"/>
        <v>41.642600000001707</v>
      </c>
      <c r="D960" s="306">
        <f t="shared" ca="1" si="414"/>
        <v>-0.52452929403947435</v>
      </c>
      <c r="E960" s="307">
        <f t="shared" ca="1" si="415"/>
        <v>-1.6359672959894223</v>
      </c>
      <c r="F960" s="304">
        <f t="shared" ca="1" si="416"/>
        <v>1.7179988282453778</v>
      </c>
      <c r="G960" s="306">
        <f t="shared" ca="1" si="417"/>
        <v>8.7517173641504513</v>
      </c>
      <c r="H960" s="307">
        <f t="shared" ca="1" si="418"/>
        <v>-136.38387660513945</v>
      </c>
      <c r="I960" s="304">
        <f t="shared" ca="1" si="419"/>
        <v>136.66438583137847</v>
      </c>
      <c r="J960" s="306">
        <f t="shared" ca="1" si="420"/>
        <v>712.18513894933824</v>
      </c>
      <c r="K960" s="307">
        <f t="shared" ca="1" si="421"/>
        <v>-12.504002557772232</v>
      </c>
      <c r="L960" s="304">
        <f t="shared" ca="1" si="406"/>
        <v>712.29489835338074</v>
      </c>
      <c r="M960" s="306">
        <f t="shared" ca="1" si="422"/>
        <v>-1.5067144521826412</v>
      </c>
      <c r="N960" s="304">
        <f t="shared" ca="1" si="423"/>
        <v>-86.328379041431234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4.0843000000000034</v>
      </c>
      <c r="T960" s="304">
        <f t="shared" ca="1" si="407"/>
        <v>40.066983000000036</v>
      </c>
      <c r="U960" s="311">
        <f t="shared" ca="1" si="408"/>
        <v>0</v>
      </c>
      <c r="V960" s="306">
        <f t="shared" ca="1" si="409"/>
        <v>1.2265326985566609</v>
      </c>
      <c r="W960" s="304">
        <f t="shared" ca="1" si="410"/>
        <v>33.453992097013995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1.5990192975333049</v>
      </c>
      <c r="AH960" s="304">
        <f t="shared" ca="1" si="434"/>
        <v>-8.190844988555213</v>
      </c>
    </row>
    <row r="961" spans="1:34" x14ac:dyDescent="0.2">
      <c r="A961" s="347">
        <f t="shared" ca="1" si="412"/>
        <v>1E-4</v>
      </c>
      <c r="B961" s="304">
        <f t="shared" ca="1" si="413"/>
        <v>41.64270000000171</v>
      </c>
      <c r="D961" s="306">
        <f t="shared" ca="1" si="414"/>
        <v>-0.52452747940556765</v>
      </c>
      <c r="E961" s="307">
        <f t="shared" ca="1" si="415"/>
        <v>-1.6359367789583512</v>
      </c>
      <c r="F961" s="304">
        <f t="shared" ca="1" si="416"/>
        <v>1.7179692143342336</v>
      </c>
      <c r="G961" s="306">
        <f t="shared" ca="1" si="417"/>
        <v>8.7516649114025107</v>
      </c>
      <c r="H961" s="307">
        <f t="shared" ca="1" si="418"/>
        <v>-136.38404019881733</v>
      </c>
      <c r="I961" s="304">
        <f t="shared" ca="1" si="419"/>
        <v>136.66454573031771</v>
      </c>
      <c r="J961" s="306">
        <f t="shared" ca="1" si="420"/>
        <v>712.18513894933824</v>
      </c>
      <c r="K961" s="307">
        <f t="shared" ca="1" si="421"/>
        <v>-12.51764095361243</v>
      </c>
      <c r="L961" s="304">
        <f t="shared" ca="1" si="406"/>
        <v>712.29513789954501</v>
      </c>
      <c r="M961" s="306">
        <f t="shared" ca="1" si="422"/>
        <v>-1.5067149118578427</v>
      </c>
      <c r="N961" s="304">
        <f t="shared" ca="1" si="423"/>
        <v>-86.32840537888022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4.0843000000000034</v>
      </c>
      <c r="T961" s="304">
        <f t="shared" ca="1" si="407"/>
        <v>40.066983000000036</v>
      </c>
      <c r="U961" s="311">
        <f t="shared" ca="1" si="408"/>
        <v>0</v>
      </c>
      <c r="V961" s="306">
        <f t="shared" ca="1" si="409"/>
        <v>1.2265343713523014</v>
      </c>
      <c r="W961" s="304">
        <f t="shared" ca="1" si="410"/>
        <v>33.454116006222847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1.5989892481235124</v>
      </c>
      <c r="AH961" s="304">
        <f t="shared" ca="1" si="434"/>
        <v>-8.190875326742395</v>
      </c>
    </row>
    <row r="962" spans="1:34" x14ac:dyDescent="0.2">
      <c r="A962" s="347">
        <f t="shared" ca="1" si="412"/>
        <v>1E-4</v>
      </c>
      <c r="B962" s="304">
        <f t="shared" ca="1" si="413"/>
        <v>41.642800000001714</v>
      </c>
      <c r="D962" s="306">
        <f t="shared" ca="1" si="414"/>
        <v>-0.52452566475857998</v>
      </c>
      <c r="E962" s="307">
        <f t="shared" ca="1" si="415"/>
        <v>-1.6359062621855553</v>
      </c>
      <c r="F962" s="304">
        <f t="shared" ca="1" si="416"/>
        <v>1.717939600698565</v>
      </c>
      <c r="G962" s="306">
        <f t="shared" ca="1" si="417"/>
        <v>8.7516124588360356</v>
      </c>
      <c r="H962" s="307">
        <f t="shared" ca="1" si="418"/>
        <v>-136.38420378944355</v>
      </c>
      <c r="I962" s="304">
        <f t="shared" ca="1" si="419"/>
        <v>136.66470562625202</v>
      </c>
      <c r="J962" s="306">
        <f t="shared" ca="1" si="420"/>
        <v>712.18513894933824</v>
      </c>
      <c r="K962" s="307">
        <f t="shared" ca="1" si="421"/>
        <v>-12.531279365811843</v>
      </c>
      <c r="L962" s="304">
        <f t="shared" ca="1" si="406"/>
        <v>712.29537770705224</v>
      </c>
      <c r="M962" s="306">
        <f t="shared" ca="1" si="422"/>
        <v>-1.5067153715292132</v>
      </c>
      <c r="N962" s="304">
        <f t="shared" ca="1" si="423"/>
        <v>-86.328431716109719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4.0843000000000034</v>
      </c>
      <c r="T962" s="304">
        <f t="shared" ca="1" si="407"/>
        <v>40.066983000000036</v>
      </c>
      <c r="U962" s="311">
        <f t="shared" ca="1" si="408"/>
        <v>0</v>
      </c>
      <c r="V962" s="306">
        <f t="shared" ca="1" si="409"/>
        <v>1.2265360441522317</v>
      </c>
      <c r="W962" s="304">
        <f t="shared" ca="1" si="410"/>
        <v>33.454239914382676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1.5989591989660958</v>
      </c>
      <c r="AH962" s="304">
        <f t="shared" ca="1" si="434"/>
        <v>-8.1909056646727265</v>
      </c>
    </row>
    <row r="963" spans="1:34" x14ac:dyDescent="0.2">
      <c r="A963" s="347">
        <f t="shared" ca="1" si="412"/>
        <v>1E-4</v>
      </c>
      <c r="B963" s="304">
        <f t="shared" ca="1" si="413"/>
        <v>41.642900000001717</v>
      </c>
      <c r="D963" s="306">
        <f t="shared" ca="1" si="414"/>
        <v>-0.52452385009851499</v>
      </c>
      <c r="E963" s="307">
        <f t="shared" ca="1" si="415"/>
        <v>-1.635875745671024</v>
      </c>
      <c r="F963" s="304">
        <f t="shared" ca="1" si="416"/>
        <v>1.7179099873383641</v>
      </c>
      <c r="G963" s="306">
        <f t="shared" ca="1" si="417"/>
        <v>8.7515600064510259</v>
      </c>
      <c r="H963" s="307">
        <f t="shared" ca="1" si="418"/>
        <v>-136.38436737701812</v>
      </c>
      <c r="I963" s="304">
        <f t="shared" ca="1" si="419"/>
        <v>136.66486551918146</v>
      </c>
      <c r="J963" s="306">
        <f t="shared" ca="1" si="420"/>
        <v>712.18513894933824</v>
      </c>
      <c r="K963" s="307">
        <f t="shared" ca="1" si="421"/>
        <v>-12.544917794370166</v>
      </c>
      <c r="L963" s="304">
        <f t="shared" ca="1" si="406"/>
        <v>712.29561777590334</v>
      </c>
      <c r="M963" s="306">
        <f t="shared" ca="1" si="422"/>
        <v>-1.5067158311967535</v>
      </c>
      <c r="N963" s="304">
        <f t="shared" ca="1" si="423"/>
        <v>-86.328458053119746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4.0843000000000034</v>
      </c>
      <c r="T963" s="304">
        <f t="shared" ca="1" si="407"/>
        <v>40.066983000000036</v>
      </c>
      <c r="U963" s="311">
        <f t="shared" ca="1" si="408"/>
        <v>0</v>
      </c>
      <c r="V963" s="306">
        <f t="shared" ca="1" si="409"/>
        <v>1.2265377169564509</v>
      </c>
      <c r="W963" s="304">
        <f t="shared" ca="1" si="410"/>
        <v>33.454363821493459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1.5989291500610463</v>
      </c>
      <c r="AH963" s="304">
        <f t="shared" ca="1" si="434"/>
        <v>-8.1909360023462163</v>
      </c>
    </row>
    <row r="964" spans="1:34" x14ac:dyDescent="0.2">
      <c r="A964" s="347">
        <f t="shared" ca="1" si="412"/>
        <v>1E-4</v>
      </c>
      <c r="B964" s="304">
        <f t="shared" ca="1" si="413"/>
        <v>41.64300000000172</v>
      </c>
      <c r="D964" s="306">
        <f t="shared" ca="1" si="414"/>
        <v>-0.52452203542536679</v>
      </c>
      <c r="E964" s="307">
        <f t="shared" ca="1" si="415"/>
        <v>-1.6358452294147661</v>
      </c>
      <c r="F964" s="304">
        <f t="shared" ca="1" si="416"/>
        <v>1.7178803742536377</v>
      </c>
      <c r="G964" s="306">
        <f t="shared" ca="1" si="417"/>
        <v>8.7515075542474836</v>
      </c>
      <c r="H964" s="307">
        <f t="shared" ca="1" si="418"/>
        <v>-136.38453096154106</v>
      </c>
      <c r="I964" s="304">
        <f t="shared" ca="1" si="419"/>
        <v>136.66502540910605</v>
      </c>
      <c r="J964" s="306">
        <f t="shared" ca="1" si="420"/>
        <v>712.18513894933824</v>
      </c>
      <c r="K964" s="307">
        <f t="shared" ca="1" si="421"/>
        <v>-12.558556239287094</v>
      </c>
      <c r="L964" s="304">
        <f t="shared" ref="L964:L1004" ca="1" si="435">SQRT(pos_x^2+pos_z^2)</f>
        <v>712.29585810609876</v>
      </c>
      <c r="M964" s="306">
        <f t="shared" ca="1" si="422"/>
        <v>-1.506716290860463</v>
      </c>
      <c r="N964" s="304">
        <f t="shared" ca="1" si="423"/>
        <v>-86.328484389910301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4.0843000000000034</v>
      </c>
      <c r="T964" s="304">
        <f t="shared" ref="T964:T1004" ca="1" si="436">m*g</f>
        <v>40.066983000000036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1.2265393897649599</v>
      </c>
      <c r="W964" s="304">
        <f t="shared" ref="W964:W1003" ca="1" si="439">1/2*Rho*Sref*Cx*vit_xz^2</f>
        <v>33.454487727555239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1.5988991014083709</v>
      </c>
      <c r="AH964" s="304">
        <f t="shared" ca="1" si="434"/>
        <v>-8.1909663397628556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41.643100000001724</v>
      </c>
      <c r="D965" s="306">
        <f t="shared" ref="D965:D1004" ca="1" si="443">IF(AND(L964&lt;L_rampe,Poussee&lt;Poids*SIN(M964)),0,(-W964+Poussee)/m*COS(M964)-U964/m*SIN(M964))</f>
        <v>-0.52452022073914095</v>
      </c>
      <c r="E965" s="307">
        <f t="shared" ref="E965:E1004" ca="1" si="444">IF(AND(L964&lt;L_rampe,Poussee&lt;Poids*SIN(M964)),0,(-W964+Poussee)/m*SIN(M964)+U964/m*COS(M964)-Poids/m)</f>
        <v>-1.6358147134167691</v>
      </c>
      <c r="F965" s="304">
        <f t="shared" ref="F965:F1004" ca="1" si="445">SQRT(acc_x^2+acc_z^2)</f>
        <v>1.7178507614443763</v>
      </c>
      <c r="G965" s="306">
        <f t="shared" ref="G965:G1004" ca="1" si="446">G964+acc_x*pas</f>
        <v>8.7514551022254103</v>
      </c>
      <c r="H965" s="307">
        <f t="shared" ref="H965:H1004" ca="1" si="447">H964+acc_z*pas</f>
        <v>-136.38469454301242</v>
      </c>
      <c r="I965" s="304">
        <f t="shared" ref="I965:I1004" ca="1" si="448">SQRT(vit_x^2+vit_z^2)</f>
        <v>136.66518529602581</v>
      </c>
      <c r="J965" s="306">
        <f t="shared" ref="J965:J1004" ca="1" si="449">J964+0.5*(vit_x+G964)*pas*(K964&gt;=0)</f>
        <v>712.18513894933824</v>
      </c>
      <c r="K965" s="307">
        <f t="shared" ref="K965:K1004" ca="1" si="450">K964+0.5*(vit_z+H964)*pas</f>
        <v>-12.572194700562322</v>
      </c>
      <c r="L965" s="304">
        <f t="shared" ca="1" si="435"/>
        <v>712.29609869763931</v>
      </c>
      <c r="M965" s="306">
        <f t="shared" ref="M965:M1004" ca="1" si="451">IF(AND(L964&gt;L_rampe,G965&gt;0),ATAN2(G965,H965),$M$4)</f>
        <v>-1.506716750520342</v>
      </c>
      <c r="N965" s="304">
        <f t="shared" ref="N965:N1004" ca="1" si="452">DEGREES(Beta)</f>
        <v>-86.328510726481383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4.0843000000000034</v>
      </c>
      <c r="T965" s="304">
        <f t="shared" ca="1" si="436"/>
        <v>40.066983000000036</v>
      </c>
      <c r="U965" s="311">
        <f t="shared" ca="1" si="437"/>
        <v>0</v>
      </c>
      <c r="V965" s="306">
        <f t="shared" ca="1" si="438"/>
        <v>1.2265410625777577</v>
      </c>
      <c r="W965" s="304">
        <f t="shared" ca="1" si="439"/>
        <v>33.454611632567996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1.5988690530080572</v>
      </c>
      <c r="AH965" s="304">
        <f t="shared" ref="AH965:AH1004" ca="1" si="463">IF(AND(L964&lt;L_rampe,Poussee&lt;Poids*SIN(M964)), g*SIN(M964), (-W964+Poussee)/m)</f>
        <v>-8.1909966769226585</v>
      </c>
    </row>
    <row r="966" spans="1:34" x14ac:dyDescent="0.2">
      <c r="A966" s="347">
        <f t="shared" ca="1" si="441"/>
        <v>1E-4</v>
      </c>
      <c r="B966" s="304">
        <f t="shared" ca="1" si="442"/>
        <v>41.643200000001727</v>
      </c>
      <c r="D966" s="306">
        <f t="shared" ca="1" si="443"/>
        <v>-0.5245184060398359</v>
      </c>
      <c r="E966" s="307">
        <f t="shared" ca="1" si="444"/>
        <v>-1.6357841976770366</v>
      </c>
      <c r="F966" s="304">
        <f t="shared" ca="1" si="445"/>
        <v>1.7178211489105835</v>
      </c>
      <c r="G966" s="306">
        <f t="shared" ca="1" si="446"/>
        <v>8.7514026503848061</v>
      </c>
      <c r="H966" s="307">
        <f t="shared" ca="1" si="447"/>
        <v>-136.38485812143219</v>
      </c>
      <c r="I966" s="304">
        <f t="shared" ca="1" si="448"/>
        <v>136.66534517994074</v>
      </c>
      <c r="J966" s="306">
        <f t="shared" ca="1" si="449"/>
        <v>712.18513894933824</v>
      </c>
      <c r="K966" s="307">
        <f t="shared" ca="1" si="450"/>
        <v>-12.585833178195545</v>
      </c>
      <c r="L966" s="304">
        <f t="shared" ca="1" si="435"/>
        <v>712.29633955052554</v>
      </c>
      <c r="M966" s="306">
        <f t="shared" ca="1" si="451"/>
        <v>-1.5067172101763906</v>
      </c>
      <c r="N966" s="304">
        <f t="shared" ca="1" si="452"/>
        <v>-86.328537062832993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4.0843000000000034</v>
      </c>
      <c r="T966" s="304">
        <f t="shared" ca="1" si="436"/>
        <v>40.066983000000036</v>
      </c>
      <c r="U966" s="311">
        <f t="shared" ca="1" si="437"/>
        <v>0</v>
      </c>
      <c r="V966" s="306">
        <f t="shared" ca="1" si="438"/>
        <v>1.226542735394845</v>
      </c>
      <c r="W966" s="304">
        <f t="shared" ca="1" si="439"/>
        <v>33.454735536531715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1.5988390048601122</v>
      </c>
      <c r="AH966" s="304">
        <f t="shared" ca="1" si="463"/>
        <v>-8.191027013825618</v>
      </c>
    </row>
    <row r="967" spans="1:34" x14ac:dyDescent="0.2">
      <c r="A967" s="347">
        <f t="shared" ca="1" si="441"/>
        <v>1E-4</v>
      </c>
      <c r="B967" s="304">
        <f t="shared" ca="1" si="442"/>
        <v>41.64330000000173</v>
      </c>
      <c r="D967" s="306">
        <f t="shared" ca="1" si="443"/>
        <v>-0.5245165913274521</v>
      </c>
      <c r="E967" s="307">
        <f t="shared" ca="1" si="444"/>
        <v>-1.6357536821955758</v>
      </c>
      <c r="F967" s="304">
        <f t="shared" ca="1" si="445"/>
        <v>1.7177915366522662</v>
      </c>
      <c r="G967" s="306">
        <f t="shared" ca="1" si="446"/>
        <v>8.7513501987256728</v>
      </c>
      <c r="H967" s="307">
        <f t="shared" ca="1" si="447"/>
        <v>-136.38502169680041</v>
      </c>
      <c r="I967" s="304">
        <f t="shared" ca="1" si="448"/>
        <v>136.66550506085088</v>
      </c>
      <c r="J967" s="306">
        <f t="shared" ca="1" si="449"/>
        <v>712.18513894933824</v>
      </c>
      <c r="K967" s="307">
        <f t="shared" ca="1" si="450"/>
        <v>-12.599471672186457</v>
      </c>
      <c r="L967" s="304">
        <f t="shared" ca="1" si="435"/>
        <v>712.29658066475827</v>
      </c>
      <c r="M967" s="306">
        <f t="shared" ca="1" si="451"/>
        <v>-1.5067176698286087</v>
      </c>
      <c r="N967" s="304">
        <f t="shared" ca="1" si="452"/>
        <v>-86.32856339896513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4.0843000000000034</v>
      </c>
      <c r="T967" s="304">
        <f t="shared" ca="1" si="436"/>
        <v>40.066983000000036</v>
      </c>
      <c r="U967" s="311">
        <f t="shared" ca="1" si="437"/>
        <v>0</v>
      </c>
      <c r="V967" s="306">
        <f t="shared" ca="1" si="438"/>
        <v>1.2265444082162216</v>
      </c>
      <c r="W967" s="304">
        <f t="shared" ca="1" si="439"/>
        <v>33.454859439446402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1.5988089569645414</v>
      </c>
      <c r="AH967" s="304">
        <f t="shared" ca="1" si="463"/>
        <v>-8.1910573504717306</v>
      </c>
    </row>
    <row r="968" spans="1:34" x14ac:dyDescent="0.2">
      <c r="A968" s="347">
        <f t="shared" ca="1" si="441"/>
        <v>1E-4</v>
      </c>
      <c r="B968" s="304">
        <f t="shared" ca="1" si="442"/>
        <v>41.643400000001733</v>
      </c>
      <c r="D968" s="306">
        <f t="shared" ca="1" si="443"/>
        <v>-0.5245147766019902</v>
      </c>
      <c r="E968" s="307">
        <f t="shared" ca="1" si="444"/>
        <v>-1.6357231669723831</v>
      </c>
      <c r="F968" s="304">
        <f t="shared" ca="1" si="445"/>
        <v>1.7177619246694225</v>
      </c>
      <c r="G968" s="306">
        <f t="shared" ca="1" si="446"/>
        <v>8.751297747248012</v>
      </c>
      <c r="H968" s="307">
        <f t="shared" ca="1" si="447"/>
        <v>-136.3851852691171</v>
      </c>
      <c r="I968" s="304">
        <f t="shared" ca="1" si="448"/>
        <v>136.66566493875624</v>
      </c>
      <c r="J968" s="306">
        <f t="shared" ca="1" si="449"/>
        <v>712.18513894933824</v>
      </c>
      <c r="K968" s="307">
        <f t="shared" ca="1" si="450"/>
        <v>-12.613110182534752</v>
      </c>
      <c r="L968" s="304">
        <f t="shared" ca="1" si="435"/>
        <v>712.29682204033804</v>
      </c>
      <c r="M968" s="306">
        <f t="shared" ca="1" si="451"/>
        <v>-1.5067181294769965</v>
      </c>
      <c r="N968" s="304">
        <f t="shared" ca="1" si="452"/>
        <v>-86.328589734877809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4.0843000000000034</v>
      </c>
      <c r="T968" s="304">
        <f t="shared" ca="1" si="436"/>
        <v>40.066983000000036</v>
      </c>
      <c r="U968" s="311">
        <f t="shared" ca="1" si="437"/>
        <v>0</v>
      </c>
      <c r="V968" s="306">
        <f t="shared" ca="1" si="438"/>
        <v>1.2265460810418871</v>
      </c>
      <c r="W968" s="304">
        <f t="shared" ca="1" si="439"/>
        <v>33.454983341312058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1.5987789093213394</v>
      </c>
      <c r="AH968" s="304">
        <f t="shared" ca="1" si="463"/>
        <v>-8.1910876868609979</v>
      </c>
    </row>
    <row r="969" spans="1:34" x14ac:dyDescent="0.2">
      <c r="A969" s="347">
        <f t="shared" ca="1" si="441"/>
        <v>1E-4</v>
      </c>
      <c r="B969" s="304">
        <f t="shared" ca="1" si="442"/>
        <v>41.643500000001737</v>
      </c>
      <c r="D969" s="306">
        <f t="shared" ca="1" si="443"/>
        <v>-0.52451296186344953</v>
      </c>
      <c r="E969" s="307">
        <f t="shared" ca="1" si="444"/>
        <v>-1.6356926520074566</v>
      </c>
      <c r="F969" s="304">
        <f t="shared" ca="1" si="445"/>
        <v>1.7177323129620503</v>
      </c>
      <c r="G969" s="306">
        <f t="shared" ca="1" si="446"/>
        <v>8.7512452959518257</v>
      </c>
      <c r="H969" s="307">
        <f t="shared" ca="1" si="447"/>
        <v>-136.3853488383823</v>
      </c>
      <c r="I969" s="304">
        <f t="shared" ca="1" si="448"/>
        <v>136.66582481365685</v>
      </c>
      <c r="J969" s="306">
        <f t="shared" ca="1" si="449"/>
        <v>712.18513894933824</v>
      </c>
      <c r="K969" s="307">
        <f t="shared" ca="1" si="450"/>
        <v>-12.626748709240127</v>
      </c>
      <c r="L969" s="304">
        <f t="shared" ca="1" si="435"/>
        <v>712.29706367726556</v>
      </c>
      <c r="M969" s="306">
        <f t="shared" ca="1" si="451"/>
        <v>-1.5067185891215538</v>
      </c>
      <c r="N969" s="304">
        <f t="shared" ca="1" si="452"/>
        <v>-86.328616070571016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4.0843000000000034</v>
      </c>
      <c r="T969" s="304">
        <f t="shared" ca="1" si="436"/>
        <v>40.066983000000036</v>
      </c>
      <c r="U969" s="311">
        <f t="shared" ca="1" si="437"/>
        <v>0</v>
      </c>
      <c r="V969" s="306">
        <f t="shared" ca="1" si="438"/>
        <v>1.2265477538718423</v>
      </c>
      <c r="W969" s="304">
        <f t="shared" ca="1" si="439"/>
        <v>33.455107242128712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1.5987488619305061</v>
      </c>
      <c r="AH969" s="304">
        <f t="shared" ca="1" si="463"/>
        <v>-8.1911180229934217</v>
      </c>
    </row>
    <row r="970" spans="1:34" x14ac:dyDescent="0.2">
      <c r="A970" s="347">
        <f t="shared" ca="1" si="441"/>
        <v>1E-4</v>
      </c>
      <c r="B970" s="304">
        <f t="shared" ca="1" si="442"/>
        <v>41.64360000000174</v>
      </c>
      <c r="D970" s="306">
        <f t="shared" ca="1" si="443"/>
        <v>-0.52451114711183255</v>
      </c>
      <c r="E970" s="307">
        <f t="shared" ca="1" si="444"/>
        <v>-1.6356621373007911</v>
      </c>
      <c r="F970" s="304">
        <f t="shared" ca="1" si="445"/>
        <v>1.7177027015301463</v>
      </c>
      <c r="G970" s="306">
        <f t="shared" ca="1" si="446"/>
        <v>8.7511928448371137</v>
      </c>
      <c r="H970" s="307">
        <f t="shared" ca="1" si="447"/>
        <v>-136.38551240459603</v>
      </c>
      <c r="I970" s="304">
        <f t="shared" ca="1" si="448"/>
        <v>136.66598468555276</v>
      </c>
      <c r="J970" s="306">
        <f t="shared" ca="1" si="449"/>
        <v>712.18513894933824</v>
      </c>
      <c r="K970" s="307">
        <f t="shared" ca="1" si="450"/>
        <v>-12.640387252302276</v>
      </c>
      <c r="L970" s="304">
        <f t="shared" ca="1" si="435"/>
        <v>712.29730557554149</v>
      </c>
      <c r="M970" s="306">
        <f t="shared" ca="1" si="451"/>
        <v>-1.5067190487622808</v>
      </c>
      <c r="N970" s="304">
        <f t="shared" ca="1" si="452"/>
        <v>-86.328642406044779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4.0843000000000034</v>
      </c>
      <c r="T970" s="304">
        <f t="shared" ca="1" si="436"/>
        <v>40.066983000000036</v>
      </c>
      <c r="U970" s="311">
        <f t="shared" ca="1" si="437"/>
        <v>0</v>
      </c>
      <c r="V970" s="306">
        <f t="shared" ca="1" si="438"/>
        <v>1.2265494267060861</v>
      </c>
      <c r="W970" s="304">
        <f t="shared" ca="1" si="439"/>
        <v>33.45523114189632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1.5987188147920381</v>
      </c>
      <c r="AH970" s="304">
        <f t="shared" ca="1" si="463"/>
        <v>-8.1911483588690075</v>
      </c>
    </row>
    <row r="971" spans="1:34" x14ac:dyDescent="0.2">
      <c r="A971" s="347">
        <f t="shared" ca="1" si="441"/>
        <v>1E-4</v>
      </c>
      <c r="B971" s="304">
        <f t="shared" ca="1" si="442"/>
        <v>41.643700000001743</v>
      </c>
      <c r="D971" s="306">
        <f t="shared" ca="1" si="443"/>
        <v>-0.52450933234713781</v>
      </c>
      <c r="E971" s="307">
        <f t="shared" ca="1" si="444"/>
        <v>-1.635631622852399</v>
      </c>
      <c r="F971" s="304">
        <f t="shared" ca="1" si="445"/>
        <v>1.7176730903737221</v>
      </c>
      <c r="G971" s="306">
        <f t="shared" ca="1" si="446"/>
        <v>8.7511403939038797</v>
      </c>
      <c r="H971" s="307">
        <f t="shared" ca="1" si="447"/>
        <v>-136.38567596775832</v>
      </c>
      <c r="I971" s="304">
        <f t="shared" ca="1" si="448"/>
        <v>136.66614455444403</v>
      </c>
      <c r="J971" s="306">
        <f t="shared" ca="1" si="449"/>
        <v>712.18513894933824</v>
      </c>
      <c r="K971" s="307">
        <f t="shared" ca="1" si="450"/>
        <v>-12.654025811720894</v>
      </c>
      <c r="L971" s="304">
        <f t="shared" ca="1" si="435"/>
        <v>712.29754773516663</v>
      </c>
      <c r="M971" s="306">
        <f t="shared" ca="1" si="451"/>
        <v>-1.5067195083991778</v>
      </c>
      <c r="N971" s="304">
        <f t="shared" ca="1" si="452"/>
        <v>-86.328668741299083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4.0843000000000034</v>
      </c>
      <c r="T971" s="304">
        <f t="shared" ca="1" si="436"/>
        <v>40.066983000000036</v>
      </c>
      <c r="U971" s="311">
        <f t="shared" ca="1" si="437"/>
        <v>0</v>
      </c>
      <c r="V971" s="306">
        <f t="shared" ca="1" si="438"/>
        <v>1.2265510995446194</v>
      </c>
      <c r="W971" s="304">
        <f t="shared" ca="1" si="439"/>
        <v>33.455355040614961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1.5986887679059425</v>
      </c>
      <c r="AH971" s="304">
        <f t="shared" ca="1" si="463"/>
        <v>-8.1911786944877445</v>
      </c>
    </row>
    <row r="972" spans="1:34" x14ac:dyDescent="0.2">
      <c r="A972" s="347">
        <f t="shared" ca="1" si="441"/>
        <v>1E-4</v>
      </c>
      <c r="B972" s="304">
        <f t="shared" ca="1" si="442"/>
        <v>41.643800000001747</v>
      </c>
      <c r="D972" s="306">
        <f t="shared" ca="1" si="443"/>
        <v>-0.52450751756936531</v>
      </c>
      <c r="E972" s="307">
        <f t="shared" ca="1" si="444"/>
        <v>-1.6356011086622591</v>
      </c>
      <c r="F972" s="304">
        <f t="shared" ca="1" si="445"/>
        <v>1.7176434794927582</v>
      </c>
      <c r="G972" s="306">
        <f t="shared" ca="1" si="446"/>
        <v>8.7510879431521236</v>
      </c>
      <c r="H972" s="307">
        <f t="shared" ca="1" si="447"/>
        <v>-136.38583952786919</v>
      </c>
      <c r="I972" s="304">
        <f t="shared" ca="1" si="448"/>
        <v>136.66630442033059</v>
      </c>
      <c r="J972" s="306">
        <f t="shared" ca="1" si="449"/>
        <v>712.18513894933824</v>
      </c>
      <c r="K972" s="307">
        <f t="shared" ca="1" si="450"/>
        <v>-12.667664387495675</v>
      </c>
      <c r="L972" s="304">
        <f t="shared" ca="1" si="435"/>
        <v>712.29779015614145</v>
      </c>
      <c r="M972" s="306">
        <f t="shared" ca="1" si="451"/>
        <v>-1.5067199680322445</v>
      </c>
      <c r="N972" s="304">
        <f t="shared" ca="1" si="452"/>
        <v>-86.328695076333929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4.0843000000000034</v>
      </c>
      <c r="T972" s="304">
        <f t="shared" ca="1" si="436"/>
        <v>40.066983000000036</v>
      </c>
      <c r="U972" s="311">
        <f t="shared" ca="1" si="437"/>
        <v>0</v>
      </c>
      <c r="V972" s="306">
        <f t="shared" ca="1" si="438"/>
        <v>1.2265527723874421</v>
      </c>
      <c r="W972" s="304">
        <f t="shared" ca="1" si="439"/>
        <v>33.455478938284564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1.5986587212722032</v>
      </c>
      <c r="AH972" s="304">
        <f t="shared" ca="1" si="463"/>
        <v>-8.1912090298496523</v>
      </c>
    </row>
    <row r="973" spans="1:34" x14ac:dyDescent="0.2">
      <c r="A973" s="347">
        <f t="shared" ca="1" si="441"/>
        <v>1E-4</v>
      </c>
      <c r="B973" s="304">
        <f t="shared" ca="1" si="442"/>
        <v>41.64390000000175</v>
      </c>
      <c r="D973" s="306">
        <f t="shared" ca="1" si="443"/>
        <v>-0.52450570277851638</v>
      </c>
      <c r="E973" s="307">
        <f t="shared" ca="1" si="444"/>
        <v>-1.6355705947303889</v>
      </c>
      <c r="F973" s="304">
        <f t="shared" ca="1" si="445"/>
        <v>1.7176138688872722</v>
      </c>
      <c r="G973" s="306">
        <f t="shared" ca="1" si="446"/>
        <v>8.7510354925818454</v>
      </c>
      <c r="H973" s="307">
        <f t="shared" ca="1" si="447"/>
        <v>-136.38600308492866</v>
      </c>
      <c r="I973" s="304">
        <f t="shared" ca="1" si="448"/>
        <v>136.66646428321249</v>
      </c>
      <c r="J973" s="306">
        <f t="shared" ca="1" si="449"/>
        <v>712.18513894933824</v>
      </c>
      <c r="K973" s="307">
        <f t="shared" ca="1" si="450"/>
        <v>-12.681302979626315</v>
      </c>
      <c r="L973" s="304">
        <f t="shared" ca="1" si="435"/>
        <v>712.29803283846661</v>
      </c>
      <c r="M973" s="306">
        <f t="shared" ca="1" si="451"/>
        <v>-1.506720427661481</v>
      </c>
      <c r="N973" s="304">
        <f t="shared" ca="1" si="452"/>
        <v>-86.328721411149317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4.0843000000000034</v>
      </c>
      <c r="T973" s="304">
        <f t="shared" ca="1" si="436"/>
        <v>40.066983000000036</v>
      </c>
      <c r="U973" s="311">
        <f t="shared" ca="1" si="437"/>
        <v>0</v>
      </c>
      <c r="V973" s="306">
        <f t="shared" ca="1" si="438"/>
        <v>1.2265544452345534</v>
      </c>
      <c r="W973" s="304">
        <f t="shared" ca="1" si="439"/>
        <v>33.455602834905129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1.5986286748908363</v>
      </c>
      <c r="AH973" s="304">
        <f t="shared" ca="1" si="463"/>
        <v>-8.1912393649547131</v>
      </c>
    </row>
    <row r="974" spans="1:34" x14ac:dyDescent="0.2">
      <c r="A974" s="347">
        <f t="shared" ca="1" si="441"/>
        <v>1E-4</v>
      </c>
      <c r="B974" s="304">
        <f t="shared" ca="1" si="442"/>
        <v>41.644000000001753</v>
      </c>
      <c r="D974" s="306">
        <f t="shared" ca="1" si="443"/>
        <v>-0.52450388797459191</v>
      </c>
      <c r="E974" s="307">
        <f t="shared" ca="1" si="444"/>
        <v>-1.6355400810567868</v>
      </c>
      <c r="F974" s="304">
        <f t="shared" ca="1" si="445"/>
        <v>1.7175842585572632</v>
      </c>
      <c r="G974" s="306">
        <f t="shared" ca="1" si="446"/>
        <v>8.7509830421930488</v>
      </c>
      <c r="H974" s="307">
        <f t="shared" ca="1" si="447"/>
        <v>-136.38616663893677</v>
      </c>
      <c r="I974" s="304">
        <f t="shared" ca="1" si="448"/>
        <v>136.66662414308982</v>
      </c>
      <c r="J974" s="306">
        <f t="shared" ca="1" si="449"/>
        <v>712.18513894933824</v>
      </c>
      <c r="K974" s="307">
        <f t="shared" ca="1" si="450"/>
        <v>-12.694941588112508</v>
      </c>
      <c r="L974" s="304">
        <f t="shared" ca="1" si="435"/>
        <v>712.29827578214292</v>
      </c>
      <c r="M974" s="306">
        <f t="shared" ca="1" si="451"/>
        <v>-1.5067208872868874</v>
      </c>
      <c r="N974" s="304">
        <f t="shared" ca="1" si="452"/>
        <v>-86.328747745745261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4.0843000000000034</v>
      </c>
      <c r="T974" s="304">
        <f t="shared" ca="1" si="436"/>
        <v>40.066983000000036</v>
      </c>
      <c r="U974" s="311">
        <f t="shared" ca="1" si="437"/>
        <v>0</v>
      </c>
      <c r="V974" s="306">
        <f t="shared" ca="1" si="438"/>
        <v>1.2265561180859543</v>
      </c>
      <c r="W974" s="304">
        <f t="shared" ca="1" si="439"/>
        <v>33.455726730476727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1.5985986287618399</v>
      </c>
      <c r="AH974" s="304">
        <f t="shared" ca="1" si="463"/>
        <v>-8.1912696998029286</v>
      </c>
    </row>
    <row r="975" spans="1:34" x14ac:dyDescent="0.2">
      <c r="A975" s="347">
        <f t="shared" ca="1" si="441"/>
        <v>1E-4</v>
      </c>
      <c r="B975" s="304">
        <f t="shared" ca="1" si="442"/>
        <v>41.644100000001757</v>
      </c>
      <c r="D975" s="306">
        <f t="shared" ca="1" si="443"/>
        <v>-0.52450207315759179</v>
      </c>
      <c r="E975" s="307">
        <f t="shared" ca="1" si="444"/>
        <v>-1.6355095676414368</v>
      </c>
      <c r="F975" s="304">
        <f t="shared" ca="1" si="445"/>
        <v>1.7175546485027169</v>
      </c>
      <c r="G975" s="306">
        <f t="shared" ca="1" si="446"/>
        <v>8.7509305919857336</v>
      </c>
      <c r="H975" s="307">
        <f t="shared" ca="1" si="447"/>
        <v>-136.38633018989353</v>
      </c>
      <c r="I975" s="304">
        <f t="shared" ca="1" si="448"/>
        <v>136.66678399996255</v>
      </c>
      <c r="J975" s="306">
        <f t="shared" ca="1" si="449"/>
        <v>712.18513894933824</v>
      </c>
      <c r="K975" s="307">
        <f t="shared" ca="1" si="450"/>
        <v>-12.708580212953949</v>
      </c>
      <c r="L975" s="304">
        <f t="shared" ca="1" si="435"/>
        <v>712.29851898717106</v>
      </c>
      <c r="M975" s="306">
        <f t="shared" ca="1" si="451"/>
        <v>-1.5067213469084637</v>
      </c>
      <c r="N975" s="304">
        <f t="shared" ca="1" si="452"/>
        <v>-86.328774080121761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4.0843000000000034</v>
      </c>
      <c r="T975" s="304">
        <f t="shared" ca="1" si="436"/>
        <v>40.066983000000036</v>
      </c>
      <c r="U975" s="311">
        <f t="shared" ca="1" si="437"/>
        <v>0</v>
      </c>
      <c r="V975" s="306">
        <f t="shared" ca="1" si="438"/>
        <v>1.2265577909416439</v>
      </c>
      <c r="W975" s="304">
        <f t="shared" ca="1" si="439"/>
        <v>33.455850624999279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1.5985685828851999</v>
      </c>
      <c r="AH975" s="304">
        <f t="shared" ca="1" si="463"/>
        <v>-8.191300034394315</v>
      </c>
    </row>
    <row r="976" spans="1:34" x14ac:dyDescent="0.2">
      <c r="A976" s="347">
        <f t="shared" ca="1" si="441"/>
        <v>1E-4</v>
      </c>
      <c r="B976" s="304">
        <f t="shared" ca="1" si="442"/>
        <v>41.64420000000176</v>
      </c>
      <c r="D976" s="306">
        <f t="shared" ca="1" si="443"/>
        <v>-0.52450025832751546</v>
      </c>
      <c r="E976" s="307">
        <f t="shared" ca="1" si="444"/>
        <v>-1.6354790544843585</v>
      </c>
      <c r="F976" s="304">
        <f t="shared" ca="1" si="445"/>
        <v>1.7175250387236518</v>
      </c>
      <c r="G976" s="306">
        <f t="shared" ca="1" si="446"/>
        <v>8.7508781419599018</v>
      </c>
      <c r="H976" s="307">
        <f t="shared" ca="1" si="447"/>
        <v>-136.38649373779899</v>
      </c>
      <c r="I976" s="304">
        <f t="shared" ca="1" si="448"/>
        <v>136.6669438538307</v>
      </c>
      <c r="J976" s="306">
        <f t="shared" ca="1" si="449"/>
        <v>712.18513894933824</v>
      </c>
      <c r="K976" s="307">
        <f t="shared" ca="1" si="450"/>
        <v>-12.722218854150334</v>
      </c>
      <c r="L976" s="304">
        <f t="shared" ca="1" si="435"/>
        <v>712.2987624535516</v>
      </c>
      <c r="M976" s="306">
        <f t="shared" ca="1" si="451"/>
        <v>-1.50672180652621</v>
      </c>
      <c r="N976" s="304">
        <f t="shared" ca="1" si="452"/>
        <v>-86.328800414278817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4.0843000000000034</v>
      </c>
      <c r="T976" s="304">
        <f t="shared" ca="1" si="436"/>
        <v>40.066983000000036</v>
      </c>
      <c r="U976" s="311">
        <f t="shared" ca="1" si="437"/>
        <v>0</v>
      </c>
      <c r="V976" s="306">
        <f t="shared" ca="1" si="438"/>
        <v>1.2265594638016224</v>
      </c>
      <c r="W976" s="304">
        <f t="shared" ca="1" si="439"/>
        <v>33.455974518472836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1.598538537260934</v>
      </c>
      <c r="AH976" s="304">
        <f t="shared" ca="1" si="463"/>
        <v>-8.1913303687288526</v>
      </c>
    </row>
    <row r="977" spans="1:34" x14ac:dyDescent="0.2">
      <c r="A977" s="347">
        <f t="shared" ca="1" si="441"/>
        <v>1E-4</v>
      </c>
      <c r="B977" s="304">
        <f t="shared" ca="1" si="442"/>
        <v>41.644300000001763</v>
      </c>
      <c r="D977" s="306">
        <f t="shared" ca="1" si="443"/>
        <v>-0.52449844348436447</v>
      </c>
      <c r="E977" s="307">
        <f t="shared" ca="1" si="444"/>
        <v>-1.6354485415855411</v>
      </c>
      <c r="F977" s="304">
        <f t="shared" ca="1" si="445"/>
        <v>1.7174954292200588</v>
      </c>
      <c r="G977" s="306">
        <f t="shared" ca="1" si="446"/>
        <v>8.7508256921155532</v>
      </c>
      <c r="H977" s="307">
        <f t="shared" ca="1" si="447"/>
        <v>-136.38665728265315</v>
      </c>
      <c r="I977" s="304">
        <f t="shared" ca="1" si="448"/>
        <v>136.66710370469434</v>
      </c>
      <c r="J977" s="306">
        <f t="shared" ca="1" si="449"/>
        <v>712.18513894933824</v>
      </c>
      <c r="K977" s="307">
        <f t="shared" ca="1" si="450"/>
        <v>-12.735857511701356</v>
      </c>
      <c r="L977" s="304">
        <f t="shared" ca="1" si="435"/>
        <v>712.29900618128522</v>
      </c>
      <c r="M977" s="306">
        <f t="shared" ca="1" si="451"/>
        <v>-1.5067222661401265</v>
      </c>
      <c r="N977" s="304">
        <f t="shared" ca="1" si="452"/>
        <v>-86.328826748216429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4.0843000000000034</v>
      </c>
      <c r="T977" s="304">
        <f t="shared" ca="1" si="436"/>
        <v>40.066983000000036</v>
      </c>
      <c r="U977" s="311">
        <f t="shared" ca="1" si="437"/>
        <v>0</v>
      </c>
      <c r="V977" s="306">
        <f t="shared" ca="1" si="438"/>
        <v>1.22656113666589</v>
      </c>
      <c r="W977" s="304">
        <f t="shared" ca="1" si="439"/>
        <v>33.456098410897383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1.5985084918890298</v>
      </c>
      <c r="AH977" s="304">
        <f t="shared" ca="1" si="463"/>
        <v>-8.1913607028065538</v>
      </c>
    </row>
    <row r="978" spans="1:34" x14ac:dyDescent="0.2">
      <c r="A978" s="347">
        <f t="shared" ca="1" si="441"/>
        <v>1E-4</v>
      </c>
      <c r="B978" s="304">
        <f t="shared" ca="1" si="442"/>
        <v>41.644400000001767</v>
      </c>
      <c r="D978" s="306">
        <f t="shared" ca="1" si="443"/>
        <v>-0.52449662862813751</v>
      </c>
      <c r="E978" s="307">
        <f t="shared" ca="1" si="444"/>
        <v>-1.6354180289449864</v>
      </c>
      <c r="F978" s="304">
        <f t="shared" ca="1" si="445"/>
        <v>1.7174658199919399</v>
      </c>
      <c r="G978" s="306">
        <f t="shared" ca="1" si="446"/>
        <v>8.7507732424526896</v>
      </c>
      <c r="H978" s="307">
        <f t="shared" ca="1" si="447"/>
        <v>-136.38682082445604</v>
      </c>
      <c r="I978" s="304">
        <f t="shared" ca="1" si="448"/>
        <v>136.66726355255344</v>
      </c>
      <c r="J978" s="306">
        <f t="shared" ca="1" si="449"/>
        <v>712.18513894933824</v>
      </c>
      <c r="K978" s="307">
        <f t="shared" ca="1" si="450"/>
        <v>-12.749496185606711</v>
      </c>
      <c r="L978" s="304">
        <f t="shared" ca="1" si="435"/>
        <v>712.2992501703726</v>
      </c>
      <c r="M978" s="306">
        <f t="shared" ca="1" si="451"/>
        <v>-1.5067227257502129</v>
      </c>
      <c r="N978" s="304">
        <f t="shared" ca="1" si="452"/>
        <v>-86.328853081934611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4.0843000000000034</v>
      </c>
      <c r="T978" s="304">
        <f t="shared" ca="1" si="436"/>
        <v>40.066983000000036</v>
      </c>
      <c r="U978" s="311">
        <f t="shared" ca="1" si="437"/>
        <v>0</v>
      </c>
      <c r="V978" s="306">
        <f t="shared" ca="1" si="438"/>
        <v>1.2265628095344467</v>
      </c>
      <c r="W978" s="304">
        <f t="shared" ca="1" si="439"/>
        <v>33.456222302272927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1.5984784467694926</v>
      </c>
      <c r="AH978" s="304">
        <f t="shared" ca="1" si="463"/>
        <v>-8.1913910366274152</v>
      </c>
    </row>
    <row r="979" spans="1:34" x14ac:dyDescent="0.2">
      <c r="A979" s="347">
        <f t="shared" ca="1" si="441"/>
        <v>1E-4</v>
      </c>
      <c r="B979" s="304">
        <f t="shared" ca="1" si="442"/>
        <v>41.64450000000177</v>
      </c>
      <c r="D979" s="306">
        <f t="shared" ca="1" si="443"/>
        <v>-0.52449481375883711</v>
      </c>
      <c r="E979" s="307">
        <f t="shared" ca="1" si="444"/>
        <v>-1.635387516562691</v>
      </c>
      <c r="F979" s="304">
        <f t="shared" ca="1" si="445"/>
        <v>1.7174362110392931</v>
      </c>
      <c r="G979" s="306">
        <f t="shared" ca="1" si="446"/>
        <v>8.7507207929713129</v>
      </c>
      <c r="H979" s="307">
        <f t="shared" ca="1" si="447"/>
        <v>-136.38698436320769</v>
      </c>
      <c r="I979" s="304">
        <f t="shared" ca="1" si="448"/>
        <v>136.66742339740804</v>
      </c>
      <c r="J979" s="306">
        <f t="shared" ca="1" si="449"/>
        <v>712.18513894933824</v>
      </c>
      <c r="K979" s="307">
        <f t="shared" ca="1" si="450"/>
        <v>-12.763134875866093</v>
      </c>
      <c r="L979" s="304">
        <f t="shared" ca="1" si="435"/>
        <v>712.29949442081443</v>
      </c>
      <c r="M979" s="306">
        <f t="shared" ca="1" si="451"/>
        <v>-1.5067231853564695</v>
      </c>
      <c r="N979" s="304">
        <f t="shared" ca="1" si="452"/>
        <v>-86.328879415433349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4.0843000000000034</v>
      </c>
      <c r="T979" s="304">
        <f t="shared" ca="1" si="436"/>
        <v>40.066983000000036</v>
      </c>
      <c r="U979" s="311">
        <f t="shared" ca="1" si="437"/>
        <v>0</v>
      </c>
      <c r="V979" s="306">
        <f t="shared" ca="1" si="438"/>
        <v>1.2265644824072925</v>
      </c>
      <c r="W979" s="304">
        <f t="shared" ca="1" si="439"/>
        <v>33.456346192599455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1.5984484019023188</v>
      </c>
      <c r="AH979" s="304">
        <f t="shared" ca="1" si="463"/>
        <v>-8.1914213701914402</v>
      </c>
    </row>
    <row r="980" spans="1:34" x14ac:dyDescent="0.2">
      <c r="A980" s="347">
        <f t="shared" ca="1" si="441"/>
        <v>1E-4</v>
      </c>
      <c r="B980" s="304">
        <f t="shared" ca="1" si="442"/>
        <v>41.644600000001773</v>
      </c>
      <c r="D980" s="306">
        <f t="shared" ca="1" si="443"/>
        <v>-0.52449299887646195</v>
      </c>
      <c r="E980" s="307">
        <f t="shared" ca="1" si="444"/>
        <v>-1.6353570044386601</v>
      </c>
      <c r="F980" s="304">
        <f t="shared" ca="1" si="445"/>
        <v>1.7174066023621233</v>
      </c>
      <c r="G980" s="306">
        <f t="shared" ca="1" si="446"/>
        <v>8.7506683436714248</v>
      </c>
      <c r="H980" s="307">
        <f t="shared" ca="1" si="447"/>
        <v>-136.38714789890813</v>
      </c>
      <c r="I980" s="304">
        <f t="shared" ca="1" si="448"/>
        <v>136.66758323925822</v>
      </c>
      <c r="J980" s="306">
        <f t="shared" ca="1" si="449"/>
        <v>712.18513894933824</v>
      </c>
      <c r="K980" s="307">
        <f t="shared" ca="1" si="450"/>
        <v>-12.776773582479199</v>
      </c>
      <c r="L980" s="304">
        <f t="shared" ca="1" si="435"/>
        <v>712.29973893261126</v>
      </c>
      <c r="M980" s="306">
        <f t="shared" ca="1" si="451"/>
        <v>-1.5067236449588963</v>
      </c>
      <c r="N980" s="304">
        <f t="shared" ca="1" si="452"/>
        <v>-86.328905748712657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4.0843000000000034</v>
      </c>
      <c r="T980" s="304">
        <f t="shared" ca="1" si="436"/>
        <v>40.066983000000036</v>
      </c>
      <c r="U980" s="311">
        <f t="shared" ca="1" si="437"/>
        <v>0</v>
      </c>
      <c r="V980" s="306">
        <f t="shared" ca="1" si="438"/>
        <v>1.2265661552844269</v>
      </c>
      <c r="W980" s="304">
        <f t="shared" ca="1" si="439"/>
        <v>33.456470081877008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1.5984183572875104</v>
      </c>
      <c r="AH980" s="304">
        <f t="shared" ca="1" si="463"/>
        <v>-8.1914517034986236</v>
      </c>
    </row>
    <row r="981" spans="1:34" x14ac:dyDescent="0.2">
      <c r="A981" s="347">
        <f t="shared" ca="1" si="441"/>
        <v>1E-4</v>
      </c>
      <c r="B981" s="304">
        <f t="shared" ca="1" si="442"/>
        <v>41.644700000001777</v>
      </c>
      <c r="D981" s="306">
        <f t="shared" ca="1" si="443"/>
        <v>-0.52449118398101358</v>
      </c>
      <c r="E981" s="307">
        <f t="shared" ca="1" si="444"/>
        <v>-1.635326492572883</v>
      </c>
      <c r="F981" s="304">
        <f t="shared" ca="1" si="445"/>
        <v>1.7173769939604213</v>
      </c>
      <c r="G981" s="306">
        <f t="shared" ca="1" si="446"/>
        <v>8.750615894553027</v>
      </c>
      <c r="H981" s="307">
        <f t="shared" ca="1" si="447"/>
        <v>-136.38731143155738</v>
      </c>
      <c r="I981" s="304">
        <f t="shared" ca="1" si="448"/>
        <v>136.66774307810394</v>
      </c>
      <c r="J981" s="306">
        <f t="shared" ca="1" si="449"/>
        <v>712.18513894933824</v>
      </c>
      <c r="K981" s="307">
        <f t="shared" ca="1" si="450"/>
        <v>-12.790412305445722</v>
      </c>
      <c r="L981" s="304">
        <f t="shared" ca="1" si="435"/>
        <v>712.29998370576391</v>
      </c>
      <c r="M981" s="306">
        <f t="shared" ca="1" si="451"/>
        <v>-1.5067241045574933</v>
      </c>
      <c r="N981" s="304">
        <f t="shared" ca="1" si="452"/>
        <v>-86.328932081772535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4.0843000000000034</v>
      </c>
      <c r="T981" s="304">
        <f t="shared" ca="1" si="436"/>
        <v>40.066983000000036</v>
      </c>
      <c r="U981" s="311">
        <f t="shared" ca="1" si="437"/>
        <v>0</v>
      </c>
      <c r="V981" s="306">
        <f t="shared" ca="1" si="438"/>
        <v>1.2265678281658507</v>
      </c>
      <c r="W981" s="304">
        <f t="shared" ca="1" si="439"/>
        <v>33.456593970105544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1.5983883129250618</v>
      </c>
      <c r="AH981" s="304">
        <f t="shared" ca="1" si="463"/>
        <v>-8.191482036548976</v>
      </c>
    </row>
    <row r="982" spans="1:34" x14ac:dyDescent="0.2">
      <c r="A982" s="347">
        <f t="shared" ca="1" si="441"/>
        <v>1E-4</v>
      </c>
      <c r="B982" s="304">
        <f t="shared" ca="1" si="442"/>
        <v>41.64480000000178</v>
      </c>
      <c r="D982" s="306">
        <f t="shared" ca="1" si="443"/>
        <v>-0.52448936907249177</v>
      </c>
      <c r="E982" s="307">
        <f t="shared" ca="1" si="444"/>
        <v>-1.6352959809653722</v>
      </c>
      <c r="F982" s="304">
        <f t="shared" ca="1" si="445"/>
        <v>1.7173473858341997</v>
      </c>
      <c r="G982" s="306">
        <f t="shared" ca="1" si="446"/>
        <v>8.7505634456161197</v>
      </c>
      <c r="H982" s="307">
        <f t="shared" ca="1" si="447"/>
        <v>-136.38747496115548</v>
      </c>
      <c r="I982" s="304">
        <f t="shared" ca="1" si="448"/>
        <v>136.66790291394526</v>
      </c>
      <c r="J982" s="306">
        <f t="shared" ca="1" si="449"/>
        <v>712.18513894933824</v>
      </c>
      <c r="K982" s="307">
        <f t="shared" ca="1" si="450"/>
        <v>-12.804051044765357</v>
      </c>
      <c r="L982" s="304">
        <f t="shared" ca="1" si="435"/>
        <v>712.30022874027293</v>
      </c>
      <c r="M982" s="306">
        <f t="shared" ca="1" si="451"/>
        <v>-1.5067245641522606</v>
      </c>
      <c r="N982" s="304">
        <f t="shared" ca="1" si="452"/>
        <v>-86.328958414612984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4.0843000000000034</v>
      </c>
      <c r="T982" s="304">
        <f t="shared" ca="1" si="436"/>
        <v>40.066983000000036</v>
      </c>
      <c r="U982" s="311">
        <f t="shared" ca="1" si="437"/>
        <v>0</v>
      </c>
      <c r="V982" s="306">
        <f t="shared" ca="1" si="438"/>
        <v>1.2265695010515627</v>
      </c>
      <c r="W982" s="304">
        <f t="shared" ca="1" si="439"/>
        <v>33.456717857285071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1.5983582688149784</v>
      </c>
      <c r="AH982" s="304">
        <f t="shared" ca="1" si="463"/>
        <v>-8.1915123693424867</v>
      </c>
    </row>
    <row r="983" spans="1:34" x14ac:dyDescent="0.2">
      <c r="A983" s="347">
        <f t="shared" ca="1" si="441"/>
        <v>1E-4</v>
      </c>
      <c r="B983" s="304">
        <f t="shared" ca="1" si="442"/>
        <v>41.644900000001783</v>
      </c>
      <c r="D983" s="306">
        <f t="shared" ca="1" si="443"/>
        <v>-0.52448755415089565</v>
      </c>
      <c r="E983" s="307">
        <f t="shared" ca="1" si="444"/>
        <v>-1.6352654696161242</v>
      </c>
      <c r="F983" s="304">
        <f t="shared" ca="1" si="445"/>
        <v>1.7173177779834552</v>
      </c>
      <c r="G983" s="306">
        <f t="shared" ca="1" si="446"/>
        <v>8.7505109968607044</v>
      </c>
      <c r="H983" s="307">
        <f t="shared" ca="1" si="447"/>
        <v>-136.38763848770245</v>
      </c>
      <c r="I983" s="304">
        <f t="shared" ca="1" si="448"/>
        <v>136.66806274678217</v>
      </c>
      <c r="J983" s="306">
        <f t="shared" ca="1" si="449"/>
        <v>712.18513894933824</v>
      </c>
      <c r="K983" s="307">
        <f t="shared" ca="1" si="450"/>
        <v>-12.817689800437799</v>
      </c>
      <c r="L983" s="304">
        <f t="shared" ca="1" si="435"/>
        <v>712.30047403613912</v>
      </c>
      <c r="M983" s="306">
        <f t="shared" ca="1" si="451"/>
        <v>-1.5067250237431982</v>
      </c>
      <c r="N983" s="304">
        <f t="shared" ca="1" si="452"/>
        <v>-86.328984747234017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4.0843000000000034</v>
      </c>
      <c r="T983" s="304">
        <f t="shared" ca="1" si="436"/>
        <v>40.066983000000036</v>
      </c>
      <c r="U983" s="311">
        <f t="shared" ca="1" si="437"/>
        <v>0</v>
      </c>
      <c r="V983" s="306">
        <f t="shared" ca="1" si="438"/>
        <v>1.2265711739415641</v>
      </c>
      <c r="W983" s="304">
        <f t="shared" ca="1" si="439"/>
        <v>33.456841743415616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1.5983282249572639</v>
      </c>
      <c r="AH983" s="304">
        <f t="shared" ca="1" si="463"/>
        <v>-8.1915427018791576</v>
      </c>
    </row>
    <row r="984" spans="1:34" x14ac:dyDescent="0.2">
      <c r="A984" s="347">
        <f t="shared" ca="1" si="441"/>
        <v>1E-4</v>
      </c>
      <c r="B984" s="304">
        <f t="shared" ca="1" si="442"/>
        <v>41.645000000001787</v>
      </c>
      <c r="D984" s="306">
        <f t="shared" ca="1" si="443"/>
        <v>-0.52448573921622821</v>
      </c>
      <c r="E984" s="307">
        <f t="shared" ca="1" si="444"/>
        <v>-1.6352349585251318</v>
      </c>
      <c r="F984" s="304">
        <f t="shared" ca="1" si="445"/>
        <v>1.7172881704081824</v>
      </c>
      <c r="G984" s="306">
        <f t="shared" ca="1" si="446"/>
        <v>8.7504585482867832</v>
      </c>
      <c r="H984" s="307">
        <f t="shared" ca="1" si="447"/>
        <v>-136.38780201119829</v>
      </c>
      <c r="I984" s="304">
        <f t="shared" ca="1" si="448"/>
        <v>136.66822257661474</v>
      </c>
      <c r="J984" s="306">
        <f t="shared" ca="1" si="449"/>
        <v>712.18513894933824</v>
      </c>
      <c r="K984" s="307">
        <f t="shared" ca="1" si="450"/>
        <v>-12.831328572462745</v>
      </c>
      <c r="L984" s="304">
        <f t="shared" ca="1" si="435"/>
        <v>712.30071959336294</v>
      </c>
      <c r="M984" s="306">
        <f t="shared" ca="1" si="451"/>
        <v>-1.5067254833303061</v>
      </c>
      <c r="N984" s="304">
        <f t="shared" ca="1" si="452"/>
        <v>-86.329011079635606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4.0843000000000034</v>
      </c>
      <c r="T984" s="304">
        <f t="shared" ca="1" si="436"/>
        <v>40.066983000000036</v>
      </c>
      <c r="U984" s="311">
        <f t="shared" ca="1" si="437"/>
        <v>0</v>
      </c>
      <c r="V984" s="306">
        <f t="shared" ca="1" si="438"/>
        <v>1.2265728468358539</v>
      </c>
      <c r="W984" s="304">
        <f t="shared" ca="1" si="439"/>
        <v>33.456965628497151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1.5982981813519093</v>
      </c>
      <c r="AH984" s="304">
        <f t="shared" ca="1" si="463"/>
        <v>-8.1915730341589956</v>
      </c>
    </row>
    <row r="985" spans="1:34" x14ac:dyDescent="0.2">
      <c r="A985" s="347">
        <f t="shared" ca="1" si="441"/>
        <v>1E-4</v>
      </c>
      <c r="B985" s="304">
        <f t="shared" ca="1" si="442"/>
        <v>41.64510000000179</v>
      </c>
      <c r="D985" s="306">
        <f t="shared" ca="1" si="443"/>
        <v>-0.524483924268488</v>
      </c>
      <c r="E985" s="307">
        <f t="shared" ca="1" si="444"/>
        <v>-1.6352044476924004</v>
      </c>
      <c r="F985" s="304">
        <f t="shared" ca="1" si="445"/>
        <v>1.7172585631083868</v>
      </c>
      <c r="G985" s="306">
        <f t="shared" ca="1" si="446"/>
        <v>8.7504060998943558</v>
      </c>
      <c r="H985" s="307">
        <f t="shared" ca="1" si="447"/>
        <v>-136.38796553164306</v>
      </c>
      <c r="I985" s="304">
        <f t="shared" ca="1" si="448"/>
        <v>136.66838240344299</v>
      </c>
      <c r="J985" s="306">
        <f t="shared" ca="1" si="449"/>
        <v>712.18513894933824</v>
      </c>
      <c r="K985" s="307">
        <f t="shared" ca="1" si="450"/>
        <v>-12.844967360839886</v>
      </c>
      <c r="L985" s="304">
        <f t="shared" ca="1" si="435"/>
        <v>712.3009654119453</v>
      </c>
      <c r="M985" s="306">
        <f t="shared" ca="1" si="451"/>
        <v>-1.5067259429135844</v>
      </c>
      <c r="N985" s="304">
        <f t="shared" ca="1" si="452"/>
        <v>-86.329037411817794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4.0843000000000034</v>
      </c>
      <c r="T985" s="304">
        <f t="shared" ca="1" si="436"/>
        <v>40.066983000000036</v>
      </c>
      <c r="U985" s="311">
        <f t="shared" ca="1" si="437"/>
        <v>0</v>
      </c>
      <c r="V985" s="306">
        <f t="shared" ca="1" si="438"/>
        <v>1.2265745197344331</v>
      </c>
      <c r="W985" s="304">
        <f t="shared" ca="1" si="439"/>
        <v>33.457089512529727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1.5982681379989181</v>
      </c>
      <c r="AH985" s="304">
        <f t="shared" ca="1" si="463"/>
        <v>-8.1916033661819956</v>
      </c>
    </row>
    <row r="986" spans="1:34" x14ac:dyDescent="0.2">
      <c r="A986" s="347">
        <f t="shared" ca="1" si="441"/>
        <v>1E-4</v>
      </c>
      <c r="B986" s="304">
        <f t="shared" ca="1" si="442"/>
        <v>41.645200000001793</v>
      </c>
      <c r="D986" s="306">
        <f t="shared" ca="1" si="443"/>
        <v>-0.52448210930767625</v>
      </c>
      <c r="E986" s="307">
        <f t="shared" ca="1" si="444"/>
        <v>-1.6351739371179193</v>
      </c>
      <c r="F986" s="304">
        <f t="shared" ca="1" si="445"/>
        <v>1.7172289560840588</v>
      </c>
      <c r="G986" s="306">
        <f t="shared" ca="1" si="446"/>
        <v>8.7503536516834242</v>
      </c>
      <c r="H986" s="307">
        <f t="shared" ca="1" si="447"/>
        <v>-136.38812904903676</v>
      </c>
      <c r="I986" s="304">
        <f t="shared" ca="1" si="448"/>
        <v>136.6685422272669</v>
      </c>
      <c r="J986" s="306">
        <f t="shared" ca="1" si="449"/>
        <v>712.18513894933824</v>
      </c>
      <c r="K986" s="307">
        <f t="shared" ca="1" si="450"/>
        <v>-12.85860616556892</v>
      </c>
      <c r="L986" s="304">
        <f t="shared" ca="1" si="435"/>
        <v>712.30121149188665</v>
      </c>
      <c r="M986" s="306">
        <f t="shared" ca="1" si="451"/>
        <v>-1.5067264024930334</v>
      </c>
      <c r="N986" s="304">
        <f t="shared" ca="1" si="452"/>
        <v>-86.329063743780566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4.0843000000000034</v>
      </c>
      <c r="T986" s="304">
        <f t="shared" ca="1" si="436"/>
        <v>40.066983000000036</v>
      </c>
      <c r="U986" s="311">
        <f t="shared" ca="1" si="437"/>
        <v>0</v>
      </c>
      <c r="V986" s="306">
        <f t="shared" ca="1" si="438"/>
        <v>1.2265761926373007</v>
      </c>
      <c r="W986" s="304">
        <f t="shared" ca="1" si="439"/>
        <v>33.457213395513286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1.5982380948982815</v>
      </c>
      <c r="AH986" s="304">
        <f t="shared" ca="1" si="463"/>
        <v>-8.1916336979481681</v>
      </c>
    </row>
    <row r="987" spans="1:34" x14ac:dyDescent="0.2">
      <c r="A987" s="347">
        <f t="shared" ca="1" si="441"/>
        <v>1E-4</v>
      </c>
      <c r="B987" s="304">
        <f t="shared" ca="1" si="442"/>
        <v>41.645300000001797</v>
      </c>
      <c r="D987" s="306">
        <f t="shared" ca="1" si="443"/>
        <v>-0.52448029433379095</v>
      </c>
      <c r="E987" s="307">
        <f t="shared" ca="1" si="444"/>
        <v>-1.6351434268017044</v>
      </c>
      <c r="F987" s="304">
        <f t="shared" ca="1" si="445"/>
        <v>1.7171993493352136</v>
      </c>
      <c r="G987" s="306">
        <f t="shared" ca="1" si="446"/>
        <v>8.75030120365399</v>
      </c>
      <c r="H987" s="307">
        <f t="shared" ca="1" si="447"/>
        <v>-136.38829256337945</v>
      </c>
      <c r="I987" s="304">
        <f t="shared" ca="1" si="448"/>
        <v>136.66870204808654</v>
      </c>
      <c r="J987" s="306">
        <f t="shared" ca="1" si="449"/>
        <v>712.18513894933824</v>
      </c>
      <c r="K987" s="307">
        <f t="shared" ca="1" si="450"/>
        <v>-12.872244986649541</v>
      </c>
      <c r="L987" s="304">
        <f t="shared" ca="1" si="435"/>
        <v>712.30145783318778</v>
      </c>
      <c r="M987" s="306">
        <f t="shared" ca="1" si="451"/>
        <v>-1.5067268620686527</v>
      </c>
      <c r="N987" s="304">
        <f t="shared" ca="1" si="452"/>
        <v>-86.329090075523922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4.0843000000000034</v>
      </c>
      <c r="T987" s="304">
        <f t="shared" ca="1" si="436"/>
        <v>40.066983000000036</v>
      </c>
      <c r="U987" s="311">
        <f t="shared" ca="1" si="437"/>
        <v>0</v>
      </c>
      <c r="V987" s="306">
        <f t="shared" ca="1" si="438"/>
        <v>1.226577865544457</v>
      </c>
      <c r="W987" s="304">
        <f t="shared" ca="1" si="439"/>
        <v>33.457337277447856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1.5982080520500173</v>
      </c>
      <c r="AH987" s="304">
        <f t="shared" ca="1" si="463"/>
        <v>-8.1916640294574972</v>
      </c>
    </row>
    <row r="988" spans="1:34" x14ac:dyDescent="0.2">
      <c r="A988" s="347">
        <f t="shared" ca="1" si="441"/>
        <v>1E-4</v>
      </c>
      <c r="B988" s="304">
        <f t="shared" ca="1" si="442"/>
        <v>41.6454000000018</v>
      </c>
      <c r="D988" s="306">
        <f t="shared" ca="1" si="443"/>
        <v>-0.52447847934683545</v>
      </c>
      <c r="E988" s="307">
        <f t="shared" ca="1" si="444"/>
        <v>-1.635112916743747</v>
      </c>
      <c r="F988" s="304">
        <f t="shared" ca="1" si="445"/>
        <v>1.7171697428618444</v>
      </c>
      <c r="G988" s="306">
        <f t="shared" ca="1" si="446"/>
        <v>8.7502487558060551</v>
      </c>
      <c r="H988" s="307">
        <f t="shared" ca="1" si="447"/>
        <v>-136.38845607467113</v>
      </c>
      <c r="I988" s="304">
        <f t="shared" ca="1" si="448"/>
        <v>136.66886186590193</v>
      </c>
      <c r="J988" s="306">
        <f t="shared" ca="1" si="449"/>
        <v>712.18513894933824</v>
      </c>
      <c r="K988" s="307">
        <f t="shared" ca="1" si="450"/>
        <v>-12.885883824081443</v>
      </c>
      <c r="L988" s="304">
        <f t="shared" ca="1" si="435"/>
        <v>712.30170443584927</v>
      </c>
      <c r="M988" s="306">
        <f t="shared" ca="1" si="451"/>
        <v>-1.5067273216404424</v>
      </c>
      <c r="N988" s="304">
        <f t="shared" ca="1" si="452"/>
        <v>-86.329116407047863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4.0843000000000034</v>
      </c>
      <c r="T988" s="304">
        <f t="shared" ca="1" si="436"/>
        <v>40.066983000000036</v>
      </c>
      <c r="U988" s="311">
        <f t="shared" ca="1" si="437"/>
        <v>0</v>
      </c>
      <c r="V988" s="306">
        <f t="shared" ca="1" si="438"/>
        <v>1.226579538455902</v>
      </c>
      <c r="W988" s="304">
        <f t="shared" ca="1" si="439"/>
        <v>33.457461158333444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1.5981780094541094</v>
      </c>
      <c r="AH988" s="304">
        <f t="shared" ca="1" si="463"/>
        <v>-8.1916943607099935</v>
      </c>
    </row>
    <row r="989" spans="1:34" x14ac:dyDescent="0.2">
      <c r="A989" s="347">
        <f t="shared" ca="1" si="441"/>
        <v>1E-4</v>
      </c>
      <c r="B989" s="304">
        <f t="shared" ca="1" si="442"/>
        <v>41.645500000001803</v>
      </c>
      <c r="D989" s="306">
        <f t="shared" ca="1" si="443"/>
        <v>-0.52447666434681017</v>
      </c>
      <c r="E989" s="307">
        <f t="shared" ca="1" si="444"/>
        <v>-1.6350824069440453</v>
      </c>
      <c r="F989" s="304">
        <f t="shared" ca="1" si="445"/>
        <v>1.71714013666395</v>
      </c>
      <c r="G989" s="306">
        <f t="shared" ca="1" si="446"/>
        <v>8.7501963081396212</v>
      </c>
      <c r="H989" s="307">
        <f t="shared" ca="1" si="447"/>
        <v>-136.38861958291182</v>
      </c>
      <c r="I989" s="304">
        <f t="shared" ca="1" si="448"/>
        <v>136.66902168071306</v>
      </c>
      <c r="J989" s="306">
        <f t="shared" ca="1" si="449"/>
        <v>712.18513894933824</v>
      </c>
      <c r="K989" s="307">
        <f t="shared" ca="1" si="450"/>
        <v>-12.899522677864322</v>
      </c>
      <c r="L989" s="304">
        <f t="shared" ca="1" si="435"/>
        <v>712.3019512998718</v>
      </c>
      <c r="M989" s="306">
        <f t="shared" ca="1" si="451"/>
        <v>-1.506727781208403</v>
      </c>
      <c r="N989" s="304">
        <f t="shared" ca="1" si="452"/>
        <v>-86.329142738352402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4.0843000000000034</v>
      </c>
      <c r="T989" s="304">
        <f t="shared" ca="1" si="436"/>
        <v>40.066983000000036</v>
      </c>
      <c r="U989" s="311">
        <f t="shared" ca="1" si="437"/>
        <v>0</v>
      </c>
      <c r="V989" s="306">
        <f t="shared" ca="1" si="438"/>
        <v>1.2265812113716359</v>
      </c>
      <c r="W989" s="304">
        <f t="shared" ca="1" si="439"/>
        <v>33.457585038170045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1.5981479671105632</v>
      </c>
      <c r="AH989" s="304">
        <f t="shared" ca="1" si="463"/>
        <v>-8.191724691705657</v>
      </c>
    </row>
    <row r="990" spans="1:34" x14ac:dyDescent="0.2">
      <c r="A990" s="347">
        <f t="shared" ca="1" si="441"/>
        <v>1E-4</v>
      </c>
      <c r="B990" s="304">
        <f t="shared" ca="1" si="442"/>
        <v>41.645600000001807</v>
      </c>
      <c r="D990" s="306">
        <f t="shared" ca="1" si="443"/>
        <v>-0.52447484933371213</v>
      </c>
      <c r="E990" s="307">
        <f t="shared" ca="1" si="444"/>
        <v>-1.6350518974025992</v>
      </c>
      <c r="F990" s="304">
        <f t="shared" ca="1" si="445"/>
        <v>1.7171105307415302</v>
      </c>
      <c r="G990" s="306">
        <f t="shared" ca="1" si="446"/>
        <v>8.7501438606546884</v>
      </c>
      <c r="H990" s="307">
        <f t="shared" ca="1" si="447"/>
        <v>-136.38878308810155</v>
      </c>
      <c r="I990" s="304">
        <f t="shared" ca="1" si="448"/>
        <v>136.66918149251998</v>
      </c>
      <c r="J990" s="306">
        <f t="shared" ca="1" si="449"/>
        <v>712.18513894933824</v>
      </c>
      <c r="K990" s="307">
        <f t="shared" ca="1" si="450"/>
        <v>-12.913161547997873</v>
      </c>
      <c r="L990" s="304">
        <f t="shared" ca="1" si="435"/>
        <v>712.30219842525605</v>
      </c>
      <c r="M990" s="306">
        <f t="shared" ca="1" si="451"/>
        <v>-1.506728240772534</v>
      </c>
      <c r="N990" s="304">
        <f t="shared" ca="1" si="452"/>
        <v>-86.329169069437526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4.0843000000000034</v>
      </c>
      <c r="T990" s="304">
        <f t="shared" ca="1" si="436"/>
        <v>40.066983000000036</v>
      </c>
      <c r="U990" s="311">
        <f t="shared" ca="1" si="437"/>
        <v>0</v>
      </c>
      <c r="V990" s="306">
        <f t="shared" ca="1" si="438"/>
        <v>1.2265828842916582</v>
      </c>
      <c r="W990" s="304">
        <f t="shared" ca="1" si="439"/>
        <v>33.457708916957642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1.5981179250193769</v>
      </c>
      <c r="AH990" s="304">
        <f t="shared" ca="1" si="463"/>
        <v>-8.1917550224444859</v>
      </c>
    </row>
    <row r="991" spans="1:34" x14ac:dyDescent="0.2">
      <c r="A991" s="347">
        <f t="shared" ca="1" si="441"/>
        <v>1E-4</v>
      </c>
      <c r="B991" s="304">
        <f t="shared" ca="1" si="442"/>
        <v>41.64570000000181</v>
      </c>
      <c r="D991" s="306">
        <f t="shared" ca="1" si="443"/>
        <v>-0.52447303430754577</v>
      </c>
      <c r="E991" s="307">
        <f t="shared" ca="1" si="444"/>
        <v>-1.6350213881194158</v>
      </c>
      <c r="F991" s="304">
        <f t="shared" ca="1" si="445"/>
        <v>1.7170809250945935</v>
      </c>
      <c r="G991" s="306">
        <f t="shared" ca="1" si="446"/>
        <v>8.7500914133512584</v>
      </c>
      <c r="H991" s="307">
        <f t="shared" ca="1" si="447"/>
        <v>-136.38894659024035</v>
      </c>
      <c r="I991" s="304">
        <f t="shared" ca="1" si="448"/>
        <v>136.66934130132273</v>
      </c>
      <c r="J991" s="306">
        <f t="shared" ca="1" si="449"/>
        <v>712.18513894933824</v>
      </c>
      <c r="K991" s="307">
        <f t="shared" ca="1" si="450"/>
        <v>-12.926800434481791</v>
      </c>
      <c r="L991" s="304">
        <f t="shared" ca="1" si="435"/>
        <v>712.3024458120027</v>
      </c>
      <c r="M991" s="306">
        <f t="shared" ca="1" si="451"/>
        <v>-1.5067287003328358</v>
      </c>
      <c r="N991" s="304">
        <f t="shared" ca="1" si="452"/>
        <v>-86.329195400303249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4.0843000000000034</v>
      </c>
      <c r="T991" s="304">
        <f t="shared" ca="1" si="436"/>
        <v>40.066983000000036</v>
      </c>
      <c r="U991" s="311">
        <f t="shared" ca="1" si="437"/>
        <v>0</v>
      </c>
      <c r="V991" s="306">
        <f t="shared" ca="1" si="438"/>
        <v>1.2265845572159695</v>
      </c>
      <c r="W991" s="304">
        <f t="shared" ca="1" si="439"/>
        <v>33.45783279469628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1.5980878831805558</v>
      </c>
      <c r="AH991" s="304">
        <f t="shared" ca="1" si="463"/>
        <v>-8.1917853529264786</v>
      </c>
    </row>
    <row r="992" spans="1:34" x14ac:dyDescent="0.2">
      <c r="A992" s="347">
        <f t="shared" ca="1" si="441"/>
        <v>1E-4</v>
      </c>
      <c r="B992" s="304">
        <f t="shared" ca="1" si="442"/>
        <v>41.645800000001813</v>
      </c>
      <c r="D992" s="306">
        <f t="shared" ca="1" si="443"/>
        <v>-0.52447121926830831</v>
      </c>
      <c r="E992" s="307">
        <f t="shared" ca="1" si="444"/>
        <v>-1.6349908790944809</v>
      </c>
      <c r="F992" s="304">
        <f t="shared" ca="1" si="445"/>
        <v>1.7170513197231263</v>
      </c>
      <c r="G992" s="306">
        <f t="shared" ca="1" si="446"/>
        <v>8.7500389662293312</v>
      </c>
      <c r="H992" s="307">
        <f t="shared" ca="1" si="447"/>
        <v>-136.38911008932826</v>
      </c>
      <c r="I992" s="304">
        <f t="shared" ca="1" si="448"/>
        <v>136.66950110712131</v>
      </c>
      <c r="J992" s="306">
        <f t="shared" ca="1" si="449"/>
        <v>712.18513894933824</v>
      </c>
      <c r="K992" s="307">
        <f t="shared" ca="1" si="450"/>
        <v>-12.94043933731577</v>
      </c>
      <c r="L992" s="304">
        <f t="shared" ca="1" si="435"/>
        <v>712.30269346011244</v>
      </c>
      <c r="M992" s="306">
        <f t="shared" ca="1" si="451"/>
        <v>-1.5067291598893082</v>
      </c>
      <c r="N992" s="304">
        <f t="shared" ca="1" si="452"/>
        <v>-86.32922173094957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4.0843000000000034</v>
      </c>
      <c r="T992" s="304">
        <f t="shared" ca="1" si="436"/>
        <v>40.066983000000036</v>
      </c>
      <c r="U992" s="311">
        <f t="shared" ca="1" si="437"/>
        <v>0</v>
      </c>
      <c r="V992" s="306">
        <f t="shared" ca="1" si="438"/>
        <v>1.2265862301445691</v>
      </c>
      <c r="W992" s="304">
        <f t="shared" ca="1" si="439"/>
        <v>33.457956671385922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1.5980578415940929</v>
      </c>
      <c r="AH992" s="304">
        <f t="shared" ca="1" si="463"/>
        <v>-8.191815683151642</v>
      </c>
    </row>
    <row r="993" spans="1:34" x14ac:dyDescent="0.2">
      <c r="A993" s="347">
        <f t="shared" ca="1" si="441"/>
        <v>1E-4</v>
      </c>
      <c r="B993" s="304">
        <f t="shared" ca="1" si="442"/>
        <v>41.645900000001816</v>
      </c>
      <c r="D993" s="306">
        <f t="shared" ca="1" si="443"/>
        <v>-0.52446940421600219</v>
      </c>
      <c r="E993" s="307">
        <f t="shared" ca="1" si="444"/>
        <v>-1.6349603703278071</v>
      </c>
      <c r="F993" s="304">
        <f t="shared" ca="1" si="445"/>
        <v>1.7170217146271414</v>
      </c>
      <c r="G993" s="306">
        <f t="shared" ca="1" si="446"/>
        <v>8.7499865192889104</v>
      </c>
      <c r="H993" s="307">
        <f t="shared" ca="1" si="447"/>
        <v>-136.38927358536529</v>
      </c>
      <c r="I993" s="304">
        <f t="shared" ca="1" si="448"/>
        <v>136.66966090991576</v>
      </c>
      <c r="J993" s="306">
        <f t="shared" ca="1" si="449"/>
        <v>712.18513894933824</v>
      </c>
      <c r="K993" s="307">
        <f t="shared" ca="1" si="450"/>
        <v>-12.954078256499503</v>
      </c>
      <c r="L993" s="304">
        <f t="shared" ca="1" si="435"/>
        <v>712.30294136958594</v>
      </c>
      <c r="M993" s="306">
        <f t="shared" ca="1" si="451"/>
        <v>-1.5067296194419515</v>
      </c>
      <c r="N993" s="304">
        <f t="shared" ca="1" si="452"/>
        <v>-86.329248061376489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4.0843000000000034</v>
      </c>
      <c r="T993" s="304">
        <f t="shared" ca="1" si="436"/>
        <v>40.066983000000036</v>
      </c>
      <c r="U993" s="311">
        <f t="shared" ca="1" si="437"/>
        <v>0</v>
      </c>
      <c r="V993" s="306">
        <f t="shared" ca="1" si="438"/>
        <v>1.2265879030774576</v>
      </c>
      <c r="W993" s="304">
        <f t="shared" ca="1" si="439"/>
        <v>33.458080547026597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1.5980278002599881</v>
      </c>
      <c r="AH993" s="304">
        <f t="shared" ca="1" si="463"/>
        <v>-8.1918460131199708</v>
      </c>
    </row>
    <row r="994" spans="1:34" x14ac:dyDescent="0.2">
      <c r="A994" s="347">
        <f t="shared" ca="1" si="441"/>
        <v>1E-4</v>
      </c>
      <c r="B994" s="304">
        <f t="shared" ca="1" si="442"/>
        <v>41.64600000000182</v>
      </c>
      <c r="D994" s="306">
        <f t="shared" ca="1" si="443"/>
        <v>-0.5244675891506263</v>
      </c>
      <c r="E994" s="307">
        <f t="shared" ca="1" si="444"/>
        <v>-1.6349298618193853</v>
      </c>
      <c r="F994" s="304">
        <f t="shared" ca="1" si="445"/>
        <v>1.7169921098066305</v>
      </c>
      <c r="G994" s="306">
        <f t="shared" ca="1" si="446"/>
        <v>8.7499340725299959</v>
      </c>
      <c r="H994" s="307">
        <f t="shared" ca="1" si="447"/>
        <v>-136.38943707835148</v>
      </c>
      <c r="I994" s="304">
        <f t="shared" ca="1" si="448"/>
        <v>136.66982070970613</v>
      </c>
      <c r="J994" s="306">
        <f t="shared" ca="1" si="449"/>
        <v>712.18513894933824</v>
      </c>
      <c r="K994" s="307">
        <f t="shared" ca="1" si="450"/>
        <v>-12.967717192032689</v>
      </c>
      <c r="L994" s="304">
        <f t="shared" ca="1" si="435"/>
        <v>712.30318954042366</v>
      </c>
      <c r="M994" s="306">
        <f t="shared" ca="1" si="451"/>
        <v>-1.5067300789907656</v>
      </c>
      <c r="N994" s="304">
        <f t="shared" ca="1" si="452"/>
        <v>-86.329274391584022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4.0843000000000034</v>
      </c>
      <c r="T994" s="304">
        <f t="shared" ca="1" si="436"/>
        <v>40.066983000000036</v>
      </c>
      <c r="U994" s="311">
        <f t="shared" ca="1" si="437"/>
        <v>0</v>
      </c>
      <c r="V994" s="306">
        <f t="shared" ca="1" si="438"/>
        <v>1.226589576014635</v>
      </c>
      <c r="W994" s="304">
        <f t="shared" ca="1" si="439"/>
        <v>33.458204421618305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1.5979977591782433</v>
      </c>
      <c r="AH994" s="304">
        <f t="shared" ca="1" si="463"/>
        <v>-8.1918763428314687</v>
      </c>
    </row>
    <row r="995" spans="1:34" x14ac:dyDescent="0.2">
      <c r="A995" s="347">
        <f t="shared" ca="1" si="441"/>
        <v>1E-4</v>
      </c>
      <c r="B995" s="304">
        <f t="shared" ca="1" si="442"/>
        <v>41.646100000001823</v>
      </c>
      <c r="D995" s="306">
        <f t="shared" ca="1" si="443"/>
        <v>-0.52446577407218176</v>
      </c>
      <c r="E995" s="307">
        <f t="shared" ca="1" si="444"/>
        <v>-1.6348993535692156</v>
      </c>
      <c r="F995" s="304">
        <f t="shared" ca="1" si="445"/>
        <v>1.7169625052615947</v>
      </c>
      <c r="G995" s="306">
        <f t="shared" ca="1" si="446"/>
        <v>8.7498816259525878</v>
      </c>
      <c r="H995" s="307">
        <f t="shared" ca="1" si="447"/>
        <v>-136.38960056828682</v>
      </c>
      <c r="I995" s="304">
        <f t="shared" ca="1" si="448"/>
        <v>136.66998050649238</v>
      </c>
      <c r="J995" s="306">
        <f t="shared" ca="1" si="449"/>
        <v>712.18513894933824</v>
      </c>
      <c r="K995" s="307">
        <f t="shared" ca="1" si="450"/>
        <v>-12.98135614391502</v>
      </c>
      <c r="L995" s="304">
        <f t="shared" ca="1" si="435"/>
        <v>712.30343797262651</v>
      </c>
      <c r="M995" s="306">
        <f t="shared" ca="1" si="451"/>
        <v>-1.5067305385357506</v>
      </c>
      <c r="N995" s="304">
        <f t="shared" ca="1" si="452"/>
        <v>-86.329300721572153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4.0843000000000034</v>
      </c>
      <c r="T995" s="304">
        <f t="shared" ca="1" si="436"/>
        <v>40.066983000000036</v>
      </c>
      <c r="U995" s="311">
        <f t="shared" ca="1" si="437"/>
        <v>0</v>
      </c>
      <c r="V995" s="306">
        <f t="shared" ca="1" si="438"/>
        <v>1.2265912489561004</v>
      </c>
      <c r="W995" s="304">
        <f t="shared" ca="1" si="439"/>
        <v>33.45832829516101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1.5979677183488548</v>
      </c>
      <c r="AH995" s="304">
        <f t="shared" ca="1" si="463"/>
        <v>-8.1919066722861391</v>
      </c>
    </row>
    <row r="996" spans="1:34" x14ac:dyDescent="0.2">
      <c r="A996" s="347">
        <f t="shared" ca="1" si="441"/>
        <v>1E-4</v>
      </c>
      <c r="B996" s="304">
        <f t="shared" ca="1" si="442"/>
        <v>41.646200000001826</v>
      </c>
      <c r="D996" s="306">
        <f t="shared" ca="1" si="443"/>
        <v>-0.52446395898066844</v>
      </c>
      <c r="E996" s="307">
        <f t="shared" ca="1" si="444"/>
        <v>-1.6348688455773068</v>
      </c>
      <c r="F996" s="304">
        <f t="shared" ca="1" si="445"/>
        <v>1.7169329009920429</v>
      </c>
      <c r="G996" s="306">
        <f t="shared" ca="1" si="446"/>
        <v>8.7498291795566896</v>
      </c>
      <c r="H996" s="307">
        <f t="shared" ca="1" si="447"/>
        <v>-136.38976405517138</v>
      </c>
      <c r="I996" s="304">
        <f t="shared" ca="1" si="448"/>
        <v>136.6701403002746</v>
      </c>
      <c r="J996" s="306">
        <f t="shared" ca="1" si="449"/>
        <v>712.18513894933824</v>
      </c>
      <c r="K996" s="307">
        <f t="shared" ca="1" si="450"/>
        <v>-12.994995112146194</v>
      </c>
      <c r="L996" s="304">
        <f t="shared" ca="1" si="435"/>
        <v>712.30368666619506</v>
      </c>
      <c r="M996" s="306">
        <f t="shared" ca="1" si="451"/>
        <v>-1.5067309980769066</v>
      </c>
      <c r="N996" s="304">
        <f t="shared" ca="1" si="452"/>
        <v>-86.329327051340911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4.0843000000000034</v>
      </c>
      <c r="T996" s="304">
        <f t="shared" ca="1" si="436"/>
        <v>40.066983000000036</v>
      </c>
      <c r="U996" s="311">
        <f t="shared" ca="1" si="437"/>
        <v>0</v>
      </c>
      <c r="V996" s="306">
        <f t="shared" ca="1" si="438"/>
        <v>1.2265929219018543</v>
      </c>
      <c r="W996" s="304">
        <f t="shared" ca="1" si="439"/>
        <v>33.458452167654748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1.5979376777718315</v>
      </c>
      <c r="AH996" s="304">
        <f t="shared" ca="1" si="463"/>
        <v>-8.1919370014839714</v>
      </c>
    </row>
    <row r="997" spans="1:34" x14ac:dyDescent="0.2">
      <c r="A997" s="347">
        <f t="shared" ca="1" si="441"/>
        <v>1E-4</v>
      </c>
      <c r="B997" s="304">
        <f t="shared" ca="1" si="442"/>
        <v>41.64630000000183</v>
      </c>
      <c r="D997" s="306">
        <f t="shared" ca="1" si="443"/>
        <v>-0.52446214387608603</v>
      </c>
      <c r="E997" s="307">
        <f t="shared" ca="1" si="444"/>
        <v>-1.6348383378436502</v>
      </c>
      <c r="F997" s="304">
        <f t="shared" ca="1" si="445"/>
        <v>1.716903296997967</v>
      </c>
      <c r="G997" s="306">
        <f t="shared" ca="1" si="446"/>
        <v>8.7497767333423013</v>
      </c>
      <c r="H997" s="307">
        <f t="shared" ca="1" si="447"/>
        <v>-136.38992753900516</v>
      </c>
      <c r="I997" s="304">
        <f t="shared" ca="1" si="448"/>
        <v>136.67030009105275</v>
      </c>
      <c r="J997" s="306">
        <f t="shared" ca="1" si="449"/>
        <v>712.18513894933824</v>
      </c>
      <c r="K997" s="307">
        <f t="shared" ca="1" si="450"/>
        <v>-13.008634096725903</v>
      </c>
      <c r="L997" s="304">
        <f t="shared" ca="1" si="435"/>
        <v>712.30393562112988</v>
      </c>
      <c r="M997" s="306">
        <f t="shared" ca="1" si="451"/>
        <v>-1.5067314576142334</v>
      </c>
      <c r="N997" s="304">
        <f t="shared" ca="1" si="452"/>
        <v>-86.329353380890268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4.0843000000000034</v>
      </c>
      <c r="T997" s="304">
        <f t="shared" ca="1" si="436"/>
        <v>40.066983000000036</v>
      </c>
      <c r="U997" s="311">
        <f t="shared" ca="1" si="437"/>
        <v>0</v>
      </c>
      <c r="V997" s="306">
        <f t="shared" ca="1" si="438"/>
        <v>1.226594594851897</v>
      </c>
      <c r="W997" s="304">
        <f t="shared" ca="1" si="439"/>
        <v>33.458576039099512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1.5979076374471628</v>
      </c>
      <c r="AH997" s="304">
        <f t="shared" ca="1" si="463"/>
        <v>-8.1919673304249745</v>
      </c>
    </row>
    <row r="998" spans="1:34" x14ac:dyDescent="0.2">
      <c r="A998" s="347">
        <f t="shared" ca="1" si="441"/>
        <v>1E-4</v>
      </c>
      <c r="B998" s="304">
        <f t="shared" ca="1" si="442"/>
        <v>41.646400000001833</v>
      </c>
      <c r="D998" s="306">
        <f t="shared" ca="1" si="443"/>
        <v>-0.52446032875843662</v>
      </c>
      <c r="E998" s="307">
        <f t="shared" ca="1" si="444"/>
        <v>-1.6348078303682474</v>
      </c>
      <c r="F998" s="304">
        <f t="shared" ca="1" si="445"/>
        <v>1.7168736932793698</v>
      </c>
      <c r="G998" s="306">
        <f t="shared" ca="1" si="446"/>
        <v>8.7497242873094248</v>
      </c>
      <c r="H998" s="307">
        <f t="shared" ca="1" si="447"/>
        <v>-136.3900910197882</v>
      </c>
      <c r="I998" s="304">
        <f t="shared" ca="1" si="448"/>
        <v>136.67045987882693</v>
      </c>
      <c r="J998" s="306">
        <f t="shared" ca="1" si="449"/>
        <v>712.18513894933824</v>
      </c>
      <c r="K998" s="307">
        <f t="shared" ca="1" si="450"/>
        <v>-13.022273097653843</v>
      </c>
      <c r="L998" s="304">
        <f t="shared" ca="1" si="435"/>
        <v>712.30418483743176</v>
      </c>
      <c r="M998" s="306">
        <f t="shared" ca="1" si="451"/>
        <v>-1.5067319171477311</v>
      </c>
      <c r="N998" s="304">
        <f t="shared" ca="1" si="452"/>
        <v>-86.329379710220223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4.0843000000000034</v>
      </c>
      <c r="T998" s="304">
        <f t="shared" ca="1" si="436"/>
        <v>40.066983000000036</v>
      </c>
      <c r="U998" s="311">
        <f t="shared" ca="1" si="437"/>
        <v>0</v>
      </c>
      <c r="V998" s="306">
        <f t="shared" ca="1" si="438"/>
        <v>1.2265962678062281</v>
      </c>
      <c r="W998" s="304">
        <f t="shared" ca="1" si="439"/>
        <v>33.458699909495316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1.5978775973748558</v>
      </c>
      <c r="AH998" s="304">
        <f t="shared" ca="1" si="463"/>
        <v>-8.1919976591091466</v>
      </c>
    </row>
    <row r="999" spans="1:34" x14ac:dyDescent="0.2">
      <c r="A999" s="347">
        <f t="shared" ca="1" si="441"/>
        <v>1E-4</v>
      </c>
      <c r="B999" s="304">
        <f t="shared" ca="1" si="442"/>
        <v>41.646500000001836</v>
      </c>
      <c r="D999" s="306">
        <f t="shared" ca="1" si="443"/>
        <v>-0.52445851362772145</v>
      </c>
      <c r="E999" s="307">
        <f t="shared" ca="1" si="444"/>
        <v>-1.6347773231510949</v>
      </c>
      <c r="F999" s="304">
        <f t="shared" ca="1" si="445"/>
        <v>1.7168440898362489</v>
      </c>
      <c r="G999" s="306">
        <f t="shared" ca="1" si="446"/>
        <v>8.7496718414580616</v>
      </c>
      <c r="H999" s="307">
        <f t="shared" ca="1" si="447"/>
        <v>-136.39025449752052</v>
      </c>
      <c r="I999" s="304">
        <f t="shared" ca="1" si="448"/>
        <v>136.67061966359711</v>
      </c>
      <c r="J999" s="306">
        <f t="shared" ca="1" si="449"/>
        <v>712.18513894933824</v>
      </c>
      <c r="K999" s="307">
        <f t="shared" ca="1" si="450"/>
        <v>-13.035912114929708</v>
      </c>
      <c r="L999" s="304">
        <f t="shared" ca="1" si="435"/>
        <v>712.30443431510128</v>
      </c>
      <c r="M999" s="306">
        <f t="shared" ca="1" si="451"/>
        <v>-1.5067323766774001</v>
      </c>
      <c r="N999" s="304">
        <f t="shared" ca="1" si="452"/>
        <v>-86.32940603933082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4.0843000000000034</v>
      </c>
      <c r="T999" s="304">
        <f t="shared" ca="1" si="436"/>
        <v>40.066983000000036</v>
      </c>
      <c r="U999" s="311">
        <f t="shared" ca="1" si="437"/>
        <v>0</v>
      </c>
      <c r="V999" s="306">
        <f t="shared" ca="1" si="438"/>
        <v>1.226597940764848</v>
      </c>
      <c r="W999" s="304">
        <f t="shared" ca="1" si="439"/>
        <v>33.458823778842145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1.5978475575549034</v>
      </c>
      <c r="AH999" s="304">
        <f t="shared" ca="1" si="463"/>
        <v>-8.1920279875364912</v>
      </c>
    </row>
    <row r="1000" spans="1:34" x14ac:dyDescent="0.2">
      <c r="A1000" s="347">
        <f t="shared" ca="1" si="441"/>
        <v>1E-4</v>
      </c>
      <c r="B1000" s="304">
        <f t="shared" ca="1" si="442"/>
        <v>41.64660000000184</v>
      </c>
      <c r="D1000" s="306">
        <f t="shared" ca="1" si="443"/>
        <v>-0.52445669848393717</v>
      </c>
      <c r="E1000" s="307">
        <f t="shared" ca="1" si="444"/>
        <v>-1.6347468161921981</v>
      </c>
      <c r="F1000" s="304">
        <f t="shared" ca="1" si="445"/>
        <v>1.716814486668609</v>
      </c>
      <c r="G1000" s="306">
        <f t="shared" ca="1" si="446"/>
        <v>8.7496193957882138</v>
      </c>
      <c r="H1000" s="307">
        <f t="shared" ca="1" si="447"/>
        <v>-136.39041797220213</v>
      </c>
      <c r="I1000" s="304">
        <f t="shared" ca="1" si="448"/>
        <v>136.67077944536334</v>
      </c>
      <c r="J1000" s="306">
        <f t="shared" ca="1" si="449"/>
        <v>712.18513894933824</v>
      </c>
      <c r="K1000" s="307">
        <f t="shared" ca="1" si="450"/>
        <v>-13.049551148553194</v>
      </c>
      <c r="L1000" s="304">
        <f t="shared" ca="1" si="435"/>
        <v>712.3046840541391</v>
      </c>
      <c r="M1000" s="306">
        <f t="shared" ca="1" si="451"/>
        <v>-1.5067328362032402</v>
      </c>
      <c r="N1000" s="304">
        <f t="shared" ca="1" si="452"/>
        <v>-86.329432368222029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4.0843000000000034</v>
      </c>
      <c r="T1000" s="304">
        <f t="shared" ca="1" si="436"/>
        <v>40.066983000000036</v>
      </c>
      <c r="U1000" s="311">
        <f t="shared" ca="1" si="437"/>
        <v>0</v>
      </c>
      <c r="V1000" s="306">
        <f t="shared" ca="1" si="438"/>
        <v>1.2265996137277557</v>
      </c>
      <c r="W1000" s="304">
        <f t="shared" ca="1" si="439"/>
        <v>33.458947647140008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1.5978175179873091</v>
      </c>
      <c r="AH1000" s="304">
        <f t="shared" ca="1" si="463"/>
        <v>-8.1920583157070048</v>
      </c>
    </row>
    <row r="1001" spans="1:34" x14ac:dyDescent="0.2">
      <c r="A1001" s="347">
        <f t="shared" ca="1" si="441"/>
        <v>1E-4</v>
      </c>
      <c r="B1001" s="304">
        <f t="shared" ca="1" si="442"/>
        <v>41.646700000001843</v>
      </c>
      <c r="D1001" s="306">
        <f t="shared" ca="1" si="443"/>
        <v>-0.52445488332708623</v>
      </c>
      <c r="E1001" s="307">
        <f t="shared" ca="1" si="444"/>
        <v>-1.6347163094915533</v>
      </c>
      <c r="F1001" s="304">
        <f t="shared" ca="1" si="445"/>
        <v>1.7167848837764479</v>
      </c>
      <c r="G1001" s="306">
        <f t="shared" ca="1" si="446"/>
        <v>8.7495669502998812</v>
      </c>
      <c r="H1001" s="307">
        <f t="shared" ca="1" si="447"/>
        <v>-136.39058144383307</v>
      </c>
      <c r="I1001" s="304">
        <f t="shared" ca="1" si="448"/>
        <v>136.67093922412565</v>
      </c>
      <c r="J1001" s="306">
        <f t="shared" ca="1" si="449"/>
        <v>712.18513894933824</v>
      </c>
      <c r="K1001" s="307">
        <f t="shared" ca="1" si="450"/>
        <v>-13.063190198523996</v>
      </c>
      <c r="L1001" s="304">
        <f t="shared" ca="1" si="435"/>
        <v>712.30493405454592</v>
      </c>
      <c r="M1001" s="306">
        <f t="shared" ca="1" si="451"/>
        <v>-1.5067332957252513</v>
      </c>
      <c r="N1001" s="304">
        <f t="shared" ca="1" si="452"/>
        <v>-86.329458696893866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4.0843000000000034</v>
      </c>
      <c r="T1001" s="304">
        <f t="shared" ca="1" si="436"/>
        <v>40.066983000000036</v>
      </c>
      <c r="U1001" s="311">
        <f t="shared" ca="1" si="437"/>
        <v>0</v>
      </c>
      <c r="V1001" s="306">
        <f t="shared" ca="1" si="438"/>
        <v>1.2266012866949523</v>
      </c>
      <c r="W1001" s="304">
        <f t="shared" ca="1" si="439"/>
        <v>33.459071514388917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1.5977874786720712</v>
      </c>
      <c r="AH1001" s="304">
        <f t="shared" ca="1" si="463"/>
        <v>-8.1920886436206892</v>
      </c>
    </row>
    <row r="1002" spans="1:34" x14ac:dyDescent="0.2">
      <c r="A1002" s="347">
        <f t="shared" ca="1" si="441"/>
        <v>1E-4</v>
      </c>
      <c r="B1002" s="304">
        <f t="shared" ca="1" si="442"/>
        <v>41.646800000001846</v>
      </c>
      <c r="D1002" s="306">
        <f t="shared" ca="1" si="443"/>
        <v>-0.52445306815717008</v>
      </c>
      <c r="E1002" s="307">
        <f t="shared" ca="1" si="444"/>
        <v>-1.6346858030491553</v>
      </c>
      <c r="F1002" s="304">
        <f t="shared" ca="1" si="445"/>
        <v>1.7167552811597613</v>
      </c>
      <c r="G1002" s="306">
        <f t="shared" ca="1" si="446"/>
        <v>8.7495145049930656</v>
      </c>
      <c r="H1002" s="307">
        <f t="shared" ca="1" si="447"/>
        <v>-136.39074491241337</v>
      </c>
      <c r="I1002" s="304">
        <f t="shared" ca="1" si="448"/>
        <v>136.67109899988401</v>
      </c>
      <c r="J1002" s="306">
        <f t="shared" ca="1" si="449"/>
        <v>712.18513894933824</v>
      </c>
      <c r="K1002" s="307">
        <f t="shared" ca="1" si="450"/>
        <v>-13.076829264841809</v>
      </c>
      <c r="L1002" s="304">
        <f t="shared" ca="1" si="435"/>
        <v>712.30518431632242</v>
      </c>
      <c r="M1002" s="306">
        <f t="shared" ca="1" si="451"/>
        <v>-1.5067337552434337</v>
      </c>
      <c r="N1002" s="304">
        <f t="shared" ca="1" si="452"/>
        <v>-86.329485025346315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4.0843000000000034</v>
      </c>
      <c r="T1002" s="304">
        <f t="shared" ca="1" si="436"/>
        <v>40.066983000000036</v>
      </c>
      <c r="U1002" s="311">
        <f t="shared" ca="1" si="437"/>
        <v>0</v>
      </c>
      <c r="V1002" s="306">
        <f t="shared" ca="1" si="438"/>
        <v>1.2266029596664372</v>
      </c>
      <c r="W1002" s="304">
        <f t="shared" ca="1" si="439"/>
        <v>33.459195380588838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1.5977574396091896</v>
      </c>
      <c r="AH1002" s="304">
        <f t="shared" ca="1" si="463"/>
        <v>-8.192118971277548</v>
      </c>
    </row>
    <row r="1003" spans="1:34" x14ac:dyDescent="0.2">
      <c r="A1003" s="347">
        <f t="shared" ca="1" si="441"/>
        <v>1E-4</v>
      </c>
      <c r="B1003" s="304">
        <f t="shared" ca="1" si="442"/>
        <v>41.64690000000185</v>
      </c>
      <c r="D1003" s="306">
        <f t="shared" ca="1" si="443"/>
        <v>-0.5244512529741866</v>
      </c>
      <c r="E1003" s="307">
        <f t="shared" ca="1" si="444"/>
        <v>-1.6346552968650165</v>
      </c>
      <c r="F1003" s="304">
        <f t="shared" ca="1" si="445"/>
        <v>1.7167256788185612</v>
      </c>
      <c r="G1003" s="306">
        <f t="shared" ca="1" si="446"/>
        <v>8.7494620598677688</v>
      </c>
      <c r="H1003" s="307">
        <f t="shared" ca="1" si="447"/>
        <v>-136.39090837794305</v>
      </c>
      <c r="I1003" s="304">
        <f t="shared" ca="1" si="448"/>
        <v>136.67125877263851</v>
      </c>
      <c r="J1003" s="306">
        <f t="shared" ca="1" si="449"/>
        <v>712.18513894933824</v>
      </c>
      <c r="K1003" s="307">
        <f t="shared" ca="1" si="450"/>
        <v>-13.090468347506327</v>
      </c>
      <c r="L1003" s="304">
        <f t="shared" ca="1" si="435"/>
        <v>712.30543483946917</v>
      </c>
      <c r="M1003" s="306">
        <f t="shared" ca="1" si="451"/>
        <v>-1.5067342147577873</v>
      </c>
      <c r="N1003" s="304">
        <f t="shared" ca="1" si="452"/>
        <v>-86.32951135357942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4.0843000000000034</v>
      </c>
      <c r="T1003" s="304">
        <f t="shared" ca="1" si="436"/>
        <v>40.066983000000036</v>
      </c>
      <c r="U1003" s="311">
        <f t="shared" ca="1" si="437"/>
        <v>0</v>
      </c>
      <c r="V1003" s="306">
        <f ca="1">Rho_moyen*(20000-Alt_rampe-pos_z)/(20000+Alt_rampe+pos_z)</f>
        <v>1.22660463264221</v>
      </c>
      <c r="W1003" s="304">
        <f t="shared" ca="1" si="439"/>
        <v>33.459319245739785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1.5977274007986697</v>
      </c>
      <c r="AH1003" s="304">
        <f t="shared" ca="1" si="463"/>
        <v>-8.1921492986775721</v>
      </c>
    </row>
    <row r="1004" spans="1:34" x14ac:dyDescent="0.2">
      <c r="A1004" s="348">
        <f t="shared" ca="1" si="441"/>
        <v>1E-4</v>
      </c>
      <c r="B1004" s="305">
        <f t="shared" ca="1" si="442"/>
        <v>41.647000000001853</v>
      </c>
      <c r="D1004" s="308">
        <f t="shared" ca="1" si="443"/>
        <v>-0.52444943777813702</v>
      </c>
      <c r="E1004" s="309">
        <f t="shared" ca="1" si="444"/>
        <v>-1.6346247909391298</v>
      </c>
      <c r="F1004" s="305">
        <f t="shared" ca="1" si="445"/>
        <v>1.7166960767528414</v>
      </c>
      <c r="G1004" s="308">
        <f t="shared" ca="1" si="446"/>
        <v>8.7494096149239908</v>
      </c>
      <c r="H1004" s="309">
        <f t="shared" ca="1" si="447"/>
        <v>-136.39107184042214</v>
      </c>
      <c r="I1004" s="305">
        <f t="shared" ca="1" si="448"/>
        <v>136.67141854238915</v>
      </c>
      <c r="J1004" s="308">
        <f t="shared" ca="1" si="449"/>
        <v>712.18513894933824</v>
      </c>
      <c r="K1004" s="309">
        <f t="shared" ca="1" si="450"/>
        <v>-13.104107446517245</v>
      </c>
      <c r="L1004" s="305">
        <f t="shared" ca="1" si="435"/>
        <v>712.30568562398696</v>
      </c>
      <c r="M1004" s="308">
        <f t="shared" ca="1" si="451"/>
        <v>-1.5067346742683123</v>
      </c>
      <c r="N1004" s="305">
        <f t="shared" ca="1" si="452"/>
        <v>-86.329537681593138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4.0843000000000034</v>
      </c>
      <c r="T1004" s="305">
        <f t="shared" ca="1" si="436"/>
        <v>40.066983000000036</v>
      </c>
      <c r="U1004" s="313">
        <f t="shared" ca="1" si="437"/>
        <v>0</v>
      </c>
      <c r="V1004" s="308">
        <f t="shared" ca="1" si="438"/>
        <v>1.2266063056222718</v>
      </c>
      <c r="W1004" s="305">
        <f ca="1">1/2*Rho*Sref*Cx*vit_xz^2</f>
        <v>33.4594431098418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1.5976973622405062</v>
      </c>
      <c r="AH1004" s="305">
        <f t="shared" ca="1" si="463"/>
        <v>-8.1921796258207671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255</v>
      </c>
      <c r="J1034" s="301" t="s">
        <v>247</v>
      </c>
      <c r="T1034" s="300" t="s">
        <v>246</v>
      </c>
      <c r="Y1034" s="302" t="s">
        <v>249</v>
      </c>
    </row>
    <row r="1035" spans="5:25" x14ac:dyDescent="0.2">
      <c r="E1035" s="299" t="s">
        <v>259</v>
      </c>
    </row>
    <row r="1036" spans="5:25" x14ac:dyDescent="0.2">
      <c r="E1036" s="299"/>
      <c r="T1036" s="299" t="s">
        <v>252</v>
      </c>
    </row>
    <row r="1037" spans="5:25" x14ac:dyDescent="0.2">
      <c r="E1037" s="299"/>
      <c r="T1037" s="299" t="s">
        <v>256</v>
      </c>
    </row>
    <row r="1038" spans="5:25" x14ac:dyDescent="0.2">
      <c r="E1038" s="299"/>
      <c r="T1038" s="299" t="s">
        <v>257</v>
      </c>
    </row>
    <row r="1039" spans="5:25" x14ac:dyDescent="0.2">
      <c r="E1039" s="299"/>
      <c r="T1039" s="299" t="s">
        <v>263</v>
      </c>
    </row>
    <row r="1040" spans="5:25" x14ac:dyDescent="0.2">
      <c r="E1040" s="299" t="s">
        <v>258</v>
      </c>
      <c r="T1040" s="299" t="s">
        <v>248</v>
      </c>
    </row>
    <row r="1041" spans="5:20" x14ac:dyDescent="0.2">
      <c r="E1041" s="299"/>
      <c r="T1041" s="299" t="s">
        <v>264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261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254</v>
      </c>
    </row>
    <row r="1049" spans="5:20" x14ac:dyDescent="0.2">
      <c r="E1049" s="299"/>
    </row>
    <row r="1050" spans="5:20" x14ac:dyDescent="0.2">
      <c r="E1050" s="299" t="s">
        <v>262</v>
      </c>
    </row>
    <row r="1053" spans="5:20" x14ac:dyDescent="0.2">
      <c r="T1053" s="298" t="s">
        <v>267</v>
      </c>
    </row>
    <row r="1055" spans="5:20" x14ac:dyDescent="0.2">
      <c r="E1055" s="299" t="s">
        <v>251</v>
      </c>
    </row>
    <row r="1058" spans="5:20" x14ac:dyDescent="0.2">
      <c r="T1058" s="299" t="s">
        <v>268</v>
      </c>
    </row>
    <row r="1060" spans="5:20" x14ac:dyDescent="0.2">
      <c r="E1060" s="299" t="s">
        <v>260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250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253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265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00000000-0004-0000-0400-000000000000}"/>
    <hyperlink ref="Y1034" r:id="rId2" xr:uid="{00000000-0004-0000-0400-000001000000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1.425781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591" t="s">
        <v>280</v>
      </c>
      <c r="D2" s="591"/>
      <c r="M2" s="75"/>
    </row>
    <row r="3" spans="1:13" ht="12.75" customHeight="1" x14ac:dyDescent="0.2">
      <c r="A3" s="56"/>
      <c r="B3" s="2"/>
      <c r="C3" s="591"/>
      <c r="D3" s="591"/>
      <c r="M3" s="75"/>
    </row>
    <row r="4" spans="1:13" x14ac:dyDescent="0.2">
      <c r="A4" s="56"/>
      <c r="B4" s="2"/>
      <c r="C4" s="595" t="str">
        <f>IF(Lang="Français","Abaques de performance",IF(Lang="English","Performance charts",""))</f>
        <v>Abaques de performance</v>
      </c>
      <c r="D4" s="595"/>
      <c r="M4" s="75"/>
    </row>
    <row r="5" spans="1:13" x14ac:dyDescent="0.2">
      <c r="A5" s="56"/>
      <c r="B5" s="2"/>
      <c r="C5" s="595" t="str">
        <f>IF(Lang="Français","Calcul analytique simple",IF(Lang="English","Analytical computation",""))</f>
        <v>Calcul analytique simple</v>
      </c>
      <c r="D5" s="595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592" t="str">
        <f>IF(Lang="Français","Fusée",IF(Lang="English","Rocket",""))</f>
        <v>Fusée</v>
      </c>
      <c r="D7" s="592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593" t="str">
        <f>Nom</f>
        <v>SP02-Beta</v>
      </c>
      <c r="D8" s="593"/>
      <c r="M8" s="75"/>
    </row>
    <row r="9" spans="1:13" ht="15.75" x14ac:dyDescent="0.25">
      <c r="A9" s="59"/>
      <c r="B9" s="140" t="s">
        <v>4</v>
      </c>
      <c r="C9" s="593" t="str">
        <f>Club</f>
        <v>l'Aeroipsa</v>
      </c>
      <c r="D9" s="593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4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4,1599 kg ±4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20" t="str">
        <f>Propu</f>
        <v>Pandora (Pro24-6G BS)</v>
      </c>
      <c r="D12" s="621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592" t="str">
        <f>IF(Lang="Français","Traînée Aérdynamique",IF(Lang="English","Drag",""))</f>
        <v>Traînée Aérdynamique</v>
      </c>
      <c r="D14" s="592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84</v>
      </c>
      <c r="D15" s="655"/>
      <c r="M15" s="75"/>
    </row>
    <row r="16" spans="1:13" x14ac:dyDescent="0.2">
      <c r="A16" s="74"/>
      <c r="B16" s="140" t="s">
        <v>5</v>
      </c>
      <c r="C16" s="656">
        <f>Cx</f>
        <v>0.4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62</v>
      </c>
      <c r="C39" s="170" t="s">
        <v>284</v>
      </c>
      <c r="D39" s="134" t="s">
        <v>281</v>
      </c>
      <c r="E39" s="134" t="s">
        <v>285</v>
      </c>
      <c r="F39" s="134" t="s">
        <v>286</v>
      </c>
      <c r="G39" s="134" t="s">
        <v>13</v>
      </c>
      <c r="H39" s="134" t="s">
        <v>282</v>
      </c>
      <c r="I39" s="134" t="s">
        <v>283</v>
      </c>
      <c r="J39" s="134" t="s">
        <v>298</v>
      </c>
      <c r="K39" s="134" t="s">
        <v>299</v>
      </c>
      <c r="L39" s="134" t="s">
        <v>301</v>
      </c>
      <c r="M39" s="134" t="s">
        <v>289</v>
      </c>
    </row>
    <row r="40" spans="1:13" x14ac:dyDescent="0.2">
      <c r="B40" s="420" t="s">
        <v>290</v>
      </c>
      <c r="C40" s="170" t="s">
        <v>291</v>
      </c>
      <c r="D40" s="134" t="s">
        <v>292</v>
      </c>
      <c r="E40" s="134" t="s">
        <v>293</v>
      </c>
      <c r="F40" s="134" t="s">
        <v>294</v>
      </c>
      <c r="G40" s="134" t="s">
        <v>295</v>
      </c>
      <c r="H40" s="134" t="s">
        <v>296</v>
      </c>
      <c r="I40" s="134" t="s">
        <v>297</v>
      </c>
      <c r="J40" s="134" t="s">
        <v>287</v>
      </c>
      <c r="K40" s="134" t="s">
        <v>288</v>
      </c>
      <c r="L40" s="134"/>
      <c r="M40" s="134"/>
    </row>
    <row r="41" spans="1:13" x14ac:dyDescent="0.2">
      <c r="B41" s="425">
        <f t="shared" ref="B41:B49" ca="1" si="0">MAX(D_ref*0.5, Diam_propu)</f>
        <v>42</v>
      </c>
      <c r="C41" s="403">
        <f t="shared" ref="C41:C67" ca="1" si="1">1/2*Rho_moyen*PI()*D_var^2/4*Cx/10^6</f>
        <v>3.3943337825710927E-4</v>
      </c>
      <c r="D41" s="400">
        <f ca="1">MpropuPlein+0*MasseSans</f>
        <v>0.15989999999999999</v>
      </c>
      <c r="E41" s="400">
        <f t="shared" ref="E41:E67" ca="1" si="2">m_var - 0.5*m_poudre</f>
        <v>0.12209999999999999</v>
      </c>
      <c r="F41" s="400">
        <f t="shared" ref="F41:F67" ca="1" si="3">m_var - m_poudre</f>
        <v>8.43E-2</v>
      </c>
      <c r="G41" s="407">
        <f t="shared" ref="G41:G67" ca="1" si="4">MAX(0, (I_total/Temps_fin_propu)/m_prop-g)</f>
        <v>573.48238329238336</v>
      </c>
      <c r="H41" s="406">
        <f t="shared" ref="H41:H67" ca="1" si="5">Q_var/m_prop</f>
        <v>2.7799621478878729E-3</v>
      </c>
      <c r="I41" s="403">
        <f t="shared" ref="I41:I67" ca="1" si="6">Q_var/m_bal</f>
        <v>4.0264932177593036E-3</v>
      </c>
      <c r="J41" s="403">
        <f t="shared" ref="J41:J67" ca="1" si="7">1/(2*b_prop)*LN(  ((EXP(2*SQRT(a_prop*b_prop)*Temps_fin_propu)+1)^2)  /  (((1+1)^2)*EXP(2*SQRT(a_prop*b_prop)*Temps_fin_propu)))</f>
        <v>661.34633645610631</v>
      </c>
      <c r="K41" s="410">
        <f t="shared" ref="K41:K67" ca="1" si="8">SQRT(a_prop/b_prop)  *  (EXP(2*SQRT(a_prop*b_prop)*Temps_fin_propu)-1)/(EXP(2*SQRT(a_prop*b_prop)*Temps_fin_propu)+1)</f>
        <v>448.41131178464059</v>
      </c>
      <c r="L41" s="413">
        <f t="shared" ref="L41:L67" ca="1" si="9">alt_prop + 1/(2*b_bal) * LN(1+b_bal/g*V_prop^2)</f>
        <v>1210.8572728794215</v>
      </c>
      <c r="M41" s="416">
        <f t="shared" ref="M41:M67" ca="1" si="10">Temps_fin_propu + ATAN(SQRT(b_bal/g)*V_prop)/SQRT(b_bal*g)</f>
        <v>9.3519095904628387</v>
      </c>
    </row>
    <row r="42" spans="1:13" x14ac:dyDescent="0.2">
      <c r="B42" s="426">
        <f t="shared" ca="1" si="0"/>
        <v>42</v>
      </c>
      <c r="C42" s="404">
        <f t="shared" ca="1" si="1"/>
        <v>3.3943337825710927E-4</v>
      </c>
      <c r="D42" s="401">
        <f ca="1">MpropuPlein+0.25*MasseSans</f>
        <v>1.1598999999999999</v>
      </c>
      <c r="E42" s="401">
        <f t="shared" ca="1" si="2"/>
        <v>1.1220999999999999</v>
      </c>
      <c r="F42" s="401">
        <f t="shared" ca="1" si="3"/>
        <v>1.0843</v>
      </c>
      <c r="G42" s="408">
        <f t="shared" ca="1" si="4"/>
        <v>53.660278941270832</v>
      </c>
      <c r="H42" s="404">
        <f t="shared" ca="1" si="5"/>
        <v>3.0249833192862429E-4</v>
      </c>
      <c r="I42" s="404">
        <f t="shared" ca="1" si="6"/>
        <v>3.1304378701199783E-4</v>
      </c>
      <c r="J42" s="404">
        <f t="shared" ca="1" si="7"/>
        <v>106.17891596385897</v>
      </c>
      <c r="K42" s="411">
        <f t="shared" ca="1" si="8"/>
        <v>105.05661383310698</v>
      </c>
      <c r="L42" s="414">
        <f t="shared" ca="1" si="9"/>
        <v>588.10672612487394</v>
      </c>
      <c r="M42" s="417">
        <f t="shared" ca="1" si="10"/>
        <v>11.664978987587229</v>
      </c>
    </row>
    <row r="43" spans="1:13" x14ac:dyDescent="0.2">
      <c r="B43" s="426">
        <f t="shared" ca="1" si="0"/>
        <v>42</v>
      </c>
      <c r="C43" s="404">
        <f t="shared" ca="1" si="1"/>
        <v>3.3943337825710927E-4</v>
      </c>
      <c r="D43" s="401">
        <f ca="1">MpropuPlein+0.5*MasseSans</f>
        <v>2.1598999999999999</v>
      </c>
      <c r="E43" s="401">
        <f t="shared" ca="1" si="2"/>
        <v>2.1221000000000001</v>
      </c>
      <c r="F43" s="401">
        <f t="shared" ca="1" si="3"/>
        <v>2.0842999999999998</v>
      </c>
      <c r="G43" s="408">
        <f t="shared" ca="1" si="4"/>
        <v>23.751095141605006</v>
      </c>
      <c r="H43" s="404">
        <f t="shared" ca="1" si="5"/>
        <v>1.5995164141987148E-4</v>
      </c>
      <c r="I43" s="404">
        <f t="shared" ca="1" si="6"/>
        <v>1.6285245802288983E-4</v>
      </c>
      <c r="J43" s="404">
        <f t="shared" ca="1" si="7"/>
        <v>47.382367511000268</v>
      </c>
      <c r="K43" s="411">
        <f t="shared" ca="1" si="8"/>
        <v>47.263027797561563</v>
      </c>
      <c r="L43" s="414">
        <f t="shared" ca="1" si="9"/>
        <v>159.17506737476344</v>
      </c>
      <c r="M43" s="417">
        <f t="shared" ca="1" si="10"/>
        <v>6.7595802152610993</v>
      </c>
    </row>
    <row r="44" spans="1:13" x14ac:dyDescent="0.2">
      <c r="B44" s="426">
        <f t="shared" ca="1" si="0"/>
        <v>42</v>
      </c>
      <c r="C44" s="404">
        <f t="shared" ca="1" si="1"/>
        <v>3.3943337825710927E-4</v>
      </c>
      <c r="D44" s="401">
        <f ca="1">MpropuPlein+0.75*MasseSans</f>
        <v>3.1598999999999999</v>
      </c>
      <c r="E44" s="401">
        <f t="shared" ca="1" si="2"/>
        <v>3.1221000000000001</v>
      </c>
      <c r="F44" s="401">
        <f t="shared" ca="1" si="3"/>
        <v>3.0842999999999998</v>
      </c>
      <c r="G44" s="408">
        <f t="shared" ca="1" si="4"/>
        <v>13.001569136158354</v>
      </c>
      <c r="H44" s="404">
        <f t="shared" ca="1" si="5"/>
        <v>1.0871957280583879E-4</v>
      </c>
      <c r="I44" s="404">
        <f t="shared" ca="1" si="6"/>
        <v>1.1005199826771367E-4</v>
      </c>
      <c r="J44" s="404">
        <f t="shared" ca="1" si="7"/>
        <v>25.97867109717404</v>
      </c>
      <c r="K44" s="411">
        <f t="shared" ca="1" si="8"/>
        <v>25.954240741786155</v>
      </c>
      <c r="L44" s="414">
        <f t="shared" ca="1" si="9"/>
        <v>60.183059609586891</v>
      </c>
      <c r="M44" s="417">
        <f t="shared" ca="1" si="10"/>
        <v>4.6390578421634334</v>
      </c>
    </row>
    <row r="45" spans="1:13" x14ac:dyDescent="0.2">
      <c r="B45" s="426">
        <f t="shared" ca="1" si="0"/>
        <v>42</v>
      </c>
      <c r="C45" s="404">
        <f t="shared" ca="1" si="1"/>
        <v>3.3943337825710927E-4</v>
      </c>
      <c r="D45" s="401">
        <f ca="1">MpropuPlein+1*MasseSans</f>
        <v>4.1599000000000004</v>
      </c>
      <c r="E45" s="401">
        <f t="shared" ca="1" si="2"/>
        <v>4.1221000000000005</v>
      </c>
      <c r="F45" s="401">
        <f t="shared" ca="1" si="3"/>
        <v>4.0843000000000007</v>
      </c>
      <c r="G45" s="408">
        <f t="shared" ca="1" si="4"/>
        <v>7.4676012226777591</v>
      </c>
      <c r="H45" s="404">
        <f t="shared" ca="1" si="5"/>
        <v>8.2344770446400915E-5</v>
      </c>
      <c r="I45" s="404">
        <f t="shared" ca="1" si="6"/>
        <v>8.3106867335188208E-5</v>
      </c>
      <c r="J45" s="404">
        <f t="shared" ca="1" si="7"/>
        <v>14.929083842623601</v>
      </c>
      <c r="K45" s="411">
        <f t="shared" ca="1" si="8"/>
        <v>14.92296924980524</v>
      </c>
      <c r="L45" s="414">
        <f t="shared" ca="1" si="9"/>
        <v>26.268798804726259</v>
      </c>
      <c r="M45" s="417">
        <f t="shared" ca="1" si="10"/>
        <v>3.5202441724272875</v>
      </c>
    </row>
    <row r="46" spans="1:13" x14ac:dyDescent="0.2">
      <c r="B46" s="426">
        <f t="shared" ca="1" si="0"/>
        <v>42</v>
      </c>
      <c r="C46" s="404">
        <f t="shared" ca="1" si="1"/>
        <v>3.3943337825710927E-4</v>
      </c>
      <c r="D46" s="401">
        <f ca="1">MpropuPlein+1.25*MasseSans</f>
        <v>5.1599000000000004</v>
      </c>
      <c r="E46" s="401">
        <f t="shared" ca="1" si="2"/>
        <v>5.1221000000000005</v>
      </c>
      <c r="F46" s="401">
        <f t="shared" ca="1" si="3"/>
        <v>5.0843000000000007</v>
      </c>
      <c r="G46" s="408">
        <f t="shared" ca="1" si="4"/>
        <v>4.0944532515960237</v>
      </c>
      <c r="H46" s="404">
        <f t="shared" ca="1" si="5"/>
        <v>6.6268401291874279E-5</v>
      </c>
      <c r="I46" s="404">
        <f t="shared" ca="1" si="6"/>
        <v>6.6761083778909435E-5</v>
      </c>
      <c r="J46" s="404">
        <f t="shared" ca="1" si="7"/>
        <v>8.187425652088157</v>
      </c>
      <c r="K46" s="411">
        <f t="shared" ca="1" si="8"/>
        <v>8.1859452294201205</v>
      </c>
      <c r="L46" s="414">
        <f t="shared" ca="1" si="9"/>
        <v>11.602024264441923</v>
      </c>
      <c r="M46" s="417">
        <f t="shared" ca="1" si="10"/>
        <v>2.8343222454825927</v>
      </c>
    </row>
    <row r="47" spans="1:13" x14ac:dyDescent="0.2">
      <c r="B47" s="426">
        <f t="shared" ca="1" si="0"/>
        <v>42</v>
      </c>
      <c r="C47" s="404">
        <f t="shared" ca="1" si="1"/>
        <v>3.3943337825710927E-4</v>
      </c>
      <c r="D47" s="401">
        <f ca="1">MpropuPlein+1.5*MasseSans</f>
        <v>6.1599000000000004</v>
      </c>
      <c r="E47" s="401">
        <f t="shared" ca="1" si="2"/>
        <v>6.1221000000000005</v>
      </c>
      <c r="F47" s="401">
        <f t="shared" ca="1" si="3"/>
        <v>6.0843000000000007</v>
      </c>
      <c r="G47" s="408">
        <f t="shared" ca="1" si="4"/>
        <v>1.8232630959964702</v>
      </c>
      <c r="H47" s="404">
        <f t="shared" ca="1" si="5"/>
        <v>5.5443945420216795E-5</v>
      </c>
      <c r="I47" s="404">
        <f t="shared" ca="1" si="6"/>
        <v>5.5788402652254036E-5</v>
      </c>
      <c r="J47" s="404">
        <f t="shared" ca="1" si="7"/>
        <v>3.6462804696088846</v>
      </c>
      <c r="K47" s="411">
        <f t="shared" ca="1" si="8"/>
        <v>3.6460347737158281</v>
      </c>
      <c r="L47" s="414">
        <f t="shared" ca="1" si="9"/>
        <v>4.3238068256550939</v>
      </c>
      <c r="M47" s="417">
        <f t="shared" ca="1" si="10"/>
        <v>2.3716557491254235</v>
      </c>
    </row>
    <row r="48" spans="1:13" x14ac:dyDescent="0.2">
      <c r="B48" s="426">
        <f t="shared" ca="1" si="0"/>
        <v>42</v>
      </c>
      <c r="C48" s="404">
        <f t="shared" ca="1" si="1"/>
        <v>3.3943337825710927E-4</v>
      </c>
      <c r="D48" s="401">
        <f ca="1">MpropuPlein+1.75*MasseSans</f>
        <v>7.1599000000000004</v>
      </c>
      <c r="E48" s="401">
        <f t="shared" ca="1" si="2"/>
        <v>7.1221000000000005</v>
      </c>
      <c r="F48" s="401">
        <f t="shared" ca="1" si="3"/>
        <v>7.0843000000000007</v>
      </c>
      <c r="G48" s="408">
        <f t="shared" ca="1" si="4"/>
        <v>0.18985959197427604</v>
      </c>
      <c r="H48" s="404">
        <f t="shared" ca="1" si="5"/>
        <v>4.7659170505484229E-5</v>
      </c>
      <c r="I48" s="404">
        <f t="shared" ca="1" si="6"/>
        <v>4.7913467563077401E-5</v>
      </c>
      <c r="J48" s="404">
        <f t="shared" ca="1" si="7"/>
        <v>0.37971689336411635</v>
      </c>
      <c r="K48" s="411">
        <f t="shared" ca="1" si="8"/>
        <v>0.37971460280384545</v>
      </c>
      <c r="L48" s="414">
        <f t="shared" ca="1" si="9"/>
        <v>0.38706567668795439</v>
      </c>
      <c r="M48" s="417">
        <f t="shared" ca="1" si="10"/>
        <v>2.0387068821274963</v>
      </c>
    </row>
    <row r="49" spans="2:13" x14ac:dyDescent="0.2">
      <c r="B49" s="427">
        <f t="shared" ca="1" si="0"/>
        <v>42</v>
      </c>
      <c r="C49" s="405">
        <f t="shared" ca="1" si="1"/>
        <v>3.3943337825710927E-4</v>
      </c>
      <c r="D49" s="402">
        <f ca="1">MpropuPlein+2*MasseSans</f>
        <v>8.1599000000000004</v>
      </c>
      <c r="E49" s="402">
        <f t="shared" ca="1" si="2"/>
        <v>8.1220999999999997</v>
      </c>
      <c r="F49" s="402">
        <f t="shared" ca="1" si="3"/>
        <v>8.0843000000000007</v>
      </c>
      <c r="G49" s="409">
        <f t="shared" ca="1" si="4"/>
        <v>0</v>
      </c>
      <c r="H49" s="405">
        <f t="shared" ca="1" si="5"/>
        <v>4.1791332076323769E-5</v>
      </c>
      <c r="I49" s="405">
        <f t="shared" ca="1" si="6"/>
        <v>4.1986737040573614E-5</v>
      </c>
      <c r="J49" s="405">
        <f t="shared" ca="1" si="7"/>
        <v>0</v>
      </c>
      <c r="K49" s="412">
        <f t="shared" ca="1" si="8"/>
        <v>0</v>
      </c>
      <c r="L49" s="415">
        <f t="shared" ca="1" si="9"/>
        <v>0</v>
      </c>
      <c r="M49" s="418">
        <f t="shared" ca="1" si="10"/>
        <v>2</v>
      </c>
    </row>
    <row r="50" spans="2:13" x14ac:dyDescent="0.2">
      <c r="B50" s="425">
        <f t="shared" ref="B50:B58" si="11">D_ref</f>
        <v>84</v>
      </c>
      <c r="C50" s="403">
        <f t="shared" si="1"/>
        <v>1.3577335130284371E-3</v>
      </c>
      <c r="D50" s="400">
        <f ca="1">MpropuPlein+0*MasseSans</f>
        <v>0.15989999999999999</v>
      </c>
      <c r="E50" s="400">
        <f t="shared" ca="1" si="2"/>
        <v>0.12209999999999999</v>
      </c>
      <c r="F50" s="400">
        <f t="shared" ca="1" si="3"/>
        <v>8.43E-2</v>
      </c>
      <c r="G50" s="407">
        <f t="shared" ca="1" si="4"/>
        <v>573.48238329238336</v>
      </c>
      <c r="H50" s="403">
        <f t="shared" ca="1" si="5"/>
        <v>1.1119848591551492E-2</v>
      </c>
      <c r="I50" s="403">
        <f t="shared" ca="1" si="6"/>
        <v>1.6105972871037214E-2</v>
      </c>
      <c r="J50" s="403">
        <f t="shared" ca="1" si="7"/>
        <v>391.8626320384966</v>
      </c>
      <c r="K50" s="410">
        <f t="shared" ca="1" si="8"/>
        <v>227.07794870527417</v>
      </c>
      <c r="L50" s="413">
        <f t="shared" ca="1" si="9"/>
        <v>530.02138773946626</v>
      </c>
      <c r="M50" s="416">
        <f t="shared" ca="1" si="10"/>
        <v>5.679416221399558</v>
      </c>
    </row>
    <row r="51" spans="2:13" x14ac:dyDescent="0.2">
      <c r="B51" s="426">
        <f t="shared" si="11"/>
        <v>84</v>
      </c>
      <c r="C51" s="404">
        <f t="shared" si="1"/>
        <v>1.3577335130284371E-3</v>
      </c>
      <c r="D51" s="401">
        <f ca="1">MpropuPlein+0.25*MasseSans</f>
        <v>1.1598999999999999</v>
      </c>
      <c r="E51" s="401">
        <f t="shared" ca="1" si="2"/>
        <v>1.1220999999999999</v>
      </c>
      <c r="F51" s="401">
        <f t="shared" ca="1" si="3"/>
        <v>1.0843</v>
      </c>
      <c r="G51" s="408">
        <f t="shared" ca="1" si="4"/>
        <v>53.660278941270832</v>
      </c>
      <c r="H51" s="404">
        <f t="shared" ca="1" si="5"/>
        <v>1.2099933277144972E-3</v>
      </c>
      <c r="I51" s="404">
        <f t="shared" ca="1" si="6"/>
        <v>1.2521751480479913E-3</v>
      </c>
      <c r="J51" s="404">
        <f t="shared" ca="1" si="7"/>
        <v>102.97343876735097</v>
      </c>
      <c r="K51" s="411">
        <f t="shared" ca="1" si="8"/>
        <v>98.903052266916291</v>
      </c>
      <c r="L51" s="414">
        <f t="shared" ca="1" si="9"/>
        <v>426.52950879602679</v>
      </c>
      <c r="M51" s="417">
        <f t="shared" ca="1" si="10"/>
        <v>9.5860952707040941</v>
      </c>
    </row>
    <row r="52" spans="2:13" x14ac:dyDescent="0.2">
      <c r="B52" s="426">
        <f t="shared" si="11"/>
        <v>84</v>
      </c>
      <c r="C52" s="404">
        <f t="shared" si="1"/>
        <v>1.3577335130284371E-3</v>
      </c>
      <c r="D52" s="401">
        <f ca="1">MpropuPlein+0.5*MasseSans</f>
        <v>2.1598999999999999</v>
      </c>
      <c r="E52" s="401">
        <f t="shared" ca="1" si="2"/>
        <v>2.1221000000000001</v>
      </c>
      <c r="F52" s="401">
        <f t="shared" ca="1" si="3"/>
        <v>2.0842999999999998</v>
      </c>
      <c r="G52" s="408">
        <f t="shared" ca="1" si="4"/>
        <v>23.751095141605006</v>
      </c>
      <c r="H52" s="404">
        <f t="shared" ca="1" si="5"/>
        <v>6.3980656567948593E-4</v>
      </c>
      <c r="I52" s="404">
        <f t="shared" ca="1" si="6"/>
        <v>6.5140983209155932E-4</v>
      </c>
      <c r="J52" s="404">
        <f t="shared" ca="1" si="7"/>
        <v>47.028617274737421</v>
      </c>
      <c r="K52" s="411">
        <f t="shared" ca="1" si="8"/>
        <v>46.562565056594742</v>
      </c>
      <c r="L52" s="414">
        <f t="shared" ca="1" si="9"/>
        <v>150.26694855843377</v>
      </c>
      <c r="M52" s="417">
        <f t="shared" ca="1" si="10"/>
        <v>6.5365185901468212</v>
      </c>
    </row>
    <row r="53" spans="2:13" x14ac:dyDescent="0.2">
      <c r="B53" s="426">
        <f t="shared" si="11"/>
        <v>84</v>
      </c>
      <c r="C53" s="404">
        <f t="shared" si="1"/>
        <v>1.3577335130284371E-3</v>
      </c>
      <c r="D53" s="401">
        <f ca="1">MpropuPlein+0.75*MasseSans</f>
        <v>3.1598999999999999</v>
      </c>
      <c r="E53" s="401">
        <f t="shared" ca="1" si="2"/>
        <v>3.1221000000000001</v>
      </c>
      <c r="F53" s="401">
        <f t="shared" ca="1" si="3"/>
        <v>3.0842999999999998</v>
      </c>
      <c r="G53" s="408">
        <f t="shared" ca="1" si="4"/>
        <v>13.001569136158354</v>
      </c>
      <c r="H53" s="404">
        <f t="shared" ca="1" si="5"/>
        <v>4.3487829122335514E-4</v>
      </c>
      <c r="I53" s="404">
        <f t="shared" ca="1" si="6"/>
        <v>4.4020799307085468E-4</v>
      </c>
      <c r="J53" s="404">
        <f t="shared" ca="1" si="7"/>
        <v>25.90570915076259</v>
      </c>
      <c r="K53" s="411">
        <f t="shared" ca="1" si="8"/>
        <v>25.808863140245972</v>
      </c>
      <c r="L53" s="414">
        <f t="shared" ca="1" si="9"/>
        <v>59.358135120250601</v>
      </c>
      <c r="M53" s="417">
        <f t="shared" ca="1" si="10"/>
        <v>4.6051208737715541</v>
      </c>
    </row>
    <row r="54" spans="2:13" x14ac:dyDescent="0.2">
      <c r="B54" s="426">
        <f t="shared" si="11"/>
        <v>84</v>
      </c>
      <c r="C54" s="404">
        <f t="shared" si="1"/>
        <v>1.3577335130284371E-3</v>
      </c>
      <c r="D54" s="401">
        <f ca="1">MpropuPlein+1*MasseSans</f>
        <v>4.1599000000000004</v>
      </c>
      <c r="E54" s="401">
        <f t="shared" ca="1" si="2"/>
        <v>4.1221000000000005</v>
      </c>
      <c r="F54" s="401">
        <f t="shared" ca="1" si="3"/>
        <v>4.0843000000000007</v>
      </c>
      <c r="G54" s="408">
        <f t="shared" ca="1" si="4"/>
        <v>7.4676012226777591</v>
      </c>
      <c r="H54" s="404">
        <f t="shared" ca="1" si="5"/>
        <v>3.2937908178560366E-4</v>
      </c>
      <c r="I54" s="404">
        <f t="shared" ca="1" si="6"/>
        <v>3.3242746934075283E-4</v>
      </c>
      <c r="J54" s="404">
        <f t="shared" ca="1" si="7"/>
        <v>14.910776045916338</v>
      </c>
      <c r="K54" s="411">
        <f t="shared" ca="1" si="8"/>
        <v>14.88641351887747</v>
      </c>
      <c r="L54" s="414">
        <f t="shared" ca="1" si="9"/>
        <v>26.163445916861061</v>
      </c>
      <c r="M54" s="417">
        <f t="shared" ca="1" si="10"/>
        <v>3.5136919060629426</v>
      </c>
    </row>
    <row r="55" spans="2:13" x14ac:dyDescent="0.2">
      <c r="B55" s="426">
        <f t="shared" si="11"/>
        <v>84</v>
      </c>
      <c r="C55" s="404">
        <f t="shared" si="1"/>
        <v>1.3577335130284371E-3</v>
      </c>
      <c r="D55" s="401">
        <f ca="1">MpropuPlein+1.25*MasseSans</f>
        <v>5.1599000000000004</v>
      </c>
      <c r="E55" s="401">
        <f t="shared" ca="1" si="2"/>
        <v>5.1221000000000005</v>
      </c>
      <c r="F55" s="401">
        <f t="shared" ca="1" si="3"/>
        <v>5.0843000000000007</v>
      </c>
      <c r="G55" s="408">
        <f t="shared" ca="1" si="4"/>
        <v>4.0944532515960237</v>
      </c>
      <c r="H55" s="404">
        <f t="shared" ca="1" si="5"/>
        <v>2.6507360516749712E-4</v>
      </c>
      <c r="I55" s="404">
        <f t="shared" ca="1" si="6"/>
        <v>2.6704433511563774E-4</v>
      </c>
      <c r="J55" s="404">
        <f t="shared" ca="1" si="7"/>
        <v>8.1829882348957064</v>
      </c>
      <c r="K55" s="411">
        <f t="shared" ca="1" si="8"/>
        <v>8.1770768079894651</v>
      </c>
      <c r="L55" s="414">
        <f t="shared" ca="1" si="9"/>
        <v>11.587871344427956</v>
      </c>
      <c r="M55" s="417">
        <f t="shared" ca="1" si="10"/>
        <v>2.8330398585303591</v>
      </c>
    </row>
    <row r="56" spans="2:13" x14ac:dyDescent="0.2">
      <c r="B56" s="426">
        <f t="shared" si="11"/>
        <v>84</v>
      </c>
      <c r="C56" s="404">
        <f t="shared" si="1"/>
        <v>1.3577335130284371E-3</v>
      </c>
      <c r="D56" s="401">
        <f ca="1">MpropuPlein+1.5*MasseSans</f>
        <v>6.1599000000000004</v>
      </c>
      <c r="E56" s="401">
        <f t="shared" ca="1" si="2"/>
        <v>6.1221000000000005</v>
      </c>
      <c r="F56" s="401">
        <f t="shared" ca="1" si="3"/>
        <v>6.0843000000000007</v>
      </c>
      <c r="G56" s="408">
        <f t="shared" ca="1" si="4"/>
        <v>1.8232630959964702</v>
      </c>
      <c r="H56" s="404">
        <f t="shared" ca="1" si="5"/>
        <v>2.2177578168086718E-4</v>
      </c>
      <c r="I56" s="404">
        <f t="shared" ca="1" si="6"/>
        <v>2.2315361060901615E-4</v>
      </c>
      <c r="J56" s="404">
        <f t="shared" ca="1" si="7"/>
        <v>3.6455436202434877</v>
      </c>
      <c r="K56" s="411">
        <f t="shared" ca="1" si="8"/>
        <v>3.6445614720557331</v>
      </c>
      <c r="L56" s="414">
        <f t="shared" ca="1" si="9"/>
        <v>4.3224458634219651</v>
      </c>
      <c r="M56" s="417">
        <f t="shared" ca="1" si="10"/>
        <v>2.3714775196817461</v>
      </c>
    </row>
    <row r="57" spans="2:13" x14ac:dyDescent="0.2">
      <c r="B57" s="426">
        <f t="shared" si="11"/>
        <v>84</v>
      </c>
      <c r="C57" s="404">
        <f t="shared" si="1"/>
        <v>1.3577335130284371E-3</v>
      </c>
      <c r="D57" s="401">
        <f ca="1">MpropuPlein+1.75*MasseSans</f>
        <v>7.1599000000000004</v>
      </c>
      <c r="E57" s="401">
        <f t="shared" ca="1" si="2"/>
        <v>7.1221000000000005</v>
      </c>
      <c r="F57" s="401">
        <f t="shared" ca="1" si="3"/>
        <v>7.0843000000000007</v>
      </c>
      <c r="G57" s="408">
        <f t="shared" ca="1" si="4"/>
        <v>0.18985959197427604</v>
      </c>
      <c r="H57" s="404">
        <f t="shared" ca="1" si="5"/>
        <v>1.9063668202193691E-4</v>
      </c>
      <c r="I57" s="404">
        <f t="shared" ca="1" si="6"/>
        <v>1.916538702523096E-4</v>
      </c>
      <c r="J57" s="404">
        <f t="shared" ca="1" si="7"/>
        <v>0.37971002188016828</v>
      </c>
      <c r="K57" s="411">
        <f t="shared" ca="1" si="8"/>
        <v>0.37970086016556093</v>
      </c>
      <c r="L57" s="414">
        <f t="shared" ca="1" si="9"/>
        <v>0.3870582655174642</v>
      </c>
      <c r="M57" s="417">
        <f t="shared" ca="1" si="10"/>
        <v>2.0387054539930975</v>
      </c>
    </row>
    <row r="58" spans="2:13" x14ac:dyDescent="0.2">
      <c r="B58" s="427">
        <f t="shared" si="11"/>
        <v>84</v>
      </c>
      <c r="C58" s="405">
        <f t="shared" si="1"/>
        <v>1.3577335130284371E-3</v>
      </c>
      <c r="D58" s="402">
        <f ca="1">MpropuPlein+2*MasseSans</f>
        <v>8.1599000000000004</v>
      </c>
      <c r="E58" s="402">
        <f t="shared" ca="1" si="2"/>
        <v>8.1220999999999997</v>
      </c>
      <c r="F58" s="402">
        <f t="shared" ca="1" si="3"/>
        <v>8.0843000000000007</v>
      </c>
      <c r="G58" s="409">
        <f t="shared" ca="1" si="4"/>
        <v>0</v>
      </c>
      <c r="H58" s="405">
        <f t="shared" ca="1" si="5"/>
        <v>1.6716532830529508E-4</v>
      </c>
      <c r="I58" s="405">
        <f t="shared" ca="1" si="6"/>
        <v>1.6794694816229445E-4</v>
      </c>
      <c r="J58" s="405">
        <f t="shared" ca="1" si="7"/>
        <v>0</v>
      </c>
      <c r="K58" s="412">
        <f t="shared" ca="1" si="8"/>
        <v>0</v>
      </c>
      <c r="L58" s="415">
        <f t="shared" ca="1" si="9"/>
        <v>0</v>
      </c>
      <c r="M58" s="418">
        <f t="shared" ca="1" si="10"/>
        <v>2</v>
      </c>
    </row>
    <row r="59" spans="2:13" x14ac:dyDescent="0.2">
      <c r="B59" s="425">
        <f t="shared" ref="B59:B67" si="12">D_ref*1.5</f>
        <v>126</v>
      </c>
      <c r="C59" s="403">
        <f t="shared" si="1"/>
        <v>3.0549004043139831E-3</v>
      </c>
      <c r="D59" s="400">
        <f ca="1">MpropuPlein+0*MasseSans</f>
        <v>0.15989999999999999</v>
      </c>
      <c r="E59" s="400">
        <f t="shared" ca="1" si="2"/>
        <v>0.12209999999999999</v>
      </c>
      <c r="F59" s="400">
        <f t="shared" ca="1" si="3"/>
        <v>8.43E-2</v>
      </c>
      <c r="G59" s="407">
        <f t="shared" ca="1" si="4"/>
        <v>573.48238329238336</v>
      </c>
      <c r="H59" s="403">
        <f t="shared" ca="1" si="5"/>
        <v>2.5019659330990856E-2</v>
      </c>
      <c r="I59" s="403">
        <f t="shared" ca="1" si="6"/>
        <v>3.6238438959833724E-2</v>
      </c>
      <c r="J59" s="403">
        <f t="shared" ca="1" si="7"/>
        <v>275.09135589448704</v>
      </c>
      <c r="K59" s="410">
        <f t="shared" ca="1" si="8"/>
        <v>151.39764383342606</v>
      </c>
      <c r="L59" s="413">
        <f t="shared" ca="1" si="9"/>
        <v>336.49747119030712</v>
      </c>
      <c r="M59" s="416">
        <f t="shared" ca="1" si="10"/>
        <v>4.452958837153532</v>
      </c>
    </row>
    <row r="60" spans="2:13" x14ac:dyDescent="0.2">
      <c r="B60" s="426">
        <f t="shared" si="12"/>
        <v>126</v>
      </c>
      <c r="C60" s="404">
        <f t="shared" si="1"/>
        <v>3.0549004043139831E-3</v>
      </c>
      <c r="D60" s="401">
        <f ca="1">MpropuPlein+0.25*MasseSans</f>
        <v>1.1598999999999999</v>
      </c>
      <c r="E60" s="401">
        <f t="shared" ca="1" si="2"/>
        <v>1.1220999999999999</v>
      </c>
      <c r="F60" s="401">
        <f t="shared" ca="1" si="3"/>
        <v>1.0843</v>
      </c>
      <c r="G60" s="408">
        <f t="shared" ca="1" si="4"/>
        <v>53.660278941270832</v>
      </c>
      <c r="H60" s="404">
        <f t="shared" ca="1" si="5"/>
        <v>2.7224849873576182E-3</v>
      </c>
      <c r="I60" s="404">
        <f t="shared" ca="1" si="6"/>
        <v>2.8173940831079801E-3</v>
      </c>
      <c r="J60" s="404">
        <f t="shared" ca="1" si="7"/>
        <v>98.253878739725891</v>
      </c>
      <c r="K60" s="411">
        <f t="shared" ca="1" si="8"/>
        <v>90.367866800505951</v>
      </c>
      <c r="L60" s="414">
        <f t="shared" ca="1" si="9"/>
        <v>312.56001683637265</v>
      </c>
      <c r="M60" s="417">
        <f t="shared" ca="1" si="10"/>
        <v>7.968962952317086</v>
      </c>
    </row>
    <row r="61" spans="2:13" x14ac:dyDescent="0.2">
      <c r="B61" s="426">
        <f t="shared" si="12"/>
        <v>126</v>
      </c>
      <c r="C61" s="404">
        <f t="shared" si="1"/>
        <v>3.0549004043139831E-3</v>
      </c>
      <c r="D61" s="401">
        <f ca="1">MpropuPlein+0.5*MasseSans</f>
        <v>2.1598999999999999</v>
      </c>
      <c r="E61" s="401">
        <f t="shared" ca="1" si="2"/>
        <v>2.1221000000000001</v>
      </c>
      <c r="F61" s="401">
        <f t="shared" ca="1" si="3"/>
        <v>2.0842999999999998</v>
      </c>
      <c r="G61" s="408">
        <f t="shared" ca="1" si="4"/>
        <v>23.751095141605006</v>
      </c>
      <c r="H61" s="404">
        <f t="shared" ca="1" si="5"/>
        <v>1.439564772778843E-3</v>
      </c>
      <c r="I61" s="404">
        <f t="shared" ca="1" si="6"/>
        <v>1.4656721222060084E-3</v>
      </c>
      <c r="J61" s="404">
        <f t="shared" ca="1" si="7"/>
        <v>46.457337151758985</v>
      </c>
      <c r="K61" s="411">
        <f t="shared" ca="1" si="8"/>
        <v>45.448899802529702</v>
      </c>
      <c r="L61" s="414">
        <f t="shared" ca="1" si="9"/>
        <v>138.21318937505009</v>
      </c>
      <c r="M61" s="417">
        <f t="shared" ca="1" si="10"/>
        <v>6.2288520636553688</v>
      </c>
    </row>
    <row r="62" spans="2:13" x14ac:dyDescent="0.2">
      <c r="B62" s="426">
        <f t="shared" si="12"/>
        <v>126</v>
      </c>
      <c r="C62" s="404">
        <f t="shared" si="1"/>
        <v>3.0549004043139831E-3</v>
      </c>
      <c r="D62" s="401">
        <f ca="1">MpropuPlein+0.75*MasseSans</f>
        <v>3.1598999999999999</v>
      </c>
      <c r="E62" s="401">
        <f t="shared" ca="1" si="2"/>
        <v>3.1221000000000001</v>
      </c>
      <c r="F62" s="401">
        <f t="shared" ca="1" si="3"/>
        <v>3.0842999999999998</v>
      </c>
      <c r="G62" s="408">
        <f t="shared" ca="1" si="4"/>
        <v>13.001569136158354</v>
      </c>
      <c r="H62" s="404">
        <f t="shared" ca="1" si="5"/>
        <v>9.7847615525254892E-4</v>
      </c>
      <c r="I62" s="404">
        <f t="shared" ca="1" si="6"/>
        <v>9.9046798440942298E-4</v>
      </c>
      <c r="J62" s="404">
        <f t="shared" ca="1" si="7"/>
        <v>25.785548914920984</v>
      </c>
      <c r="K62" s="411">
        <f t="shared" ca="1" si="8"/>
        <v>25.570861979931095</v>
      </c>
      <c r="L62" s="414">
        <f t="shared" ca="1" si="9"/>
        <v>58.058264804157687</v>
      </c>
      <c r="M62" s="417">
        <f t="shared" ca="1" si="10"/>
        <v>4.551420942108841</v>
      </c>
    </row>
    <row r="63" spans="2:13" x14ac:dyDescent="0.2">
      <c r="B63" s="426">
        <f t="shared" si="12"/>
        <v>126</v>
      </c>
      <c r="C63" s="404">
        <f t="shared" si="1"/>
        <v>3.0549004043139831E-3</v>
      </c>
      <c r="D63" s="401">
        <f ca="1">MpropuPlein+1*MasseSans</f>
        <v>4.1599000000000004</v>
      </c>
      <c r="E63" s="401">
        <f t="shared" ca="1" si="2"/>
        <v>4.1221000000000005</v>
      </c>
      <c r="F63" s="401">
        <f t="shared" ca="1" si="3"/>
        <v>4.0843000000000007</v>
      </c>
      <c r="G63" s="408">
        <f t="shared" ca="1" si="4"/>
        <v>7.4676012226777591</v>
      </c>
      <c r="H63" s="404">
        <f t="shared" ca="1" si="5"/>
        <v>7.4110293401760815E-4</v>
      </c>
      <c r="I63" s="404">
        <f t="shared" ca="1" si="6"/>
        <v>7.4796180601669382E-4</v>
      </c>
      <c r="J63" s="404">
        <f t="shared" ca="1" si="7"/>
        <v>14.88042202211242</v>
      </c>
      <c r="K63" s="411">
        <f t="shared" ca="1" si="8"/>
        <v>14.82596256136387</v>
      </c>
      <c r="L63" s="414">
        <f t="shared" ca="1" si="9"/>
        <v>25.990899336636851</v>
      </c>
      <c r="M63" s="417">
        <f t="shared" ca="1" si="10"/>
        <v>3.5029522172282066</v>
      </c>
    </row>
    <row r="64" spans="2:13" x14ac:dyDescent="0.2">
      <c r="B64" s="426">
        <f t="shared" si="12"/>
        <v>126</v>
      </c>
      <c r="C64" s="404">
        <f t="shared" si="1"/>
        <v>3.0549004043139831E-3</v>
      </c>
      <c r="D64" s="401">
        <f ca="1">MpropuPlein+1.25*MasseSans</f>
        <v>5.1599000000000004</v>
      </c>
      <c r="E64" s="401">
        <f t="shared" ca="1" si="2"/>
        <v>5.1221000000000005</v>
      </c>
      <c r="F64" s="401">
        <f t="shared" ca="1" si="3"/>
        <v>5.0843000000000007</v>
      </c>
      <c r="G64" s="408">
        <f t="shared" ca="1" si="4"/>
        <v>4.0944532515960237</v>
      </c>
      <c r="H64" s="404">
        <f t="shared" ca="1" si="5"/>
        <v>5.9641561162686839E-4</v>
      </c>
      <c r="I64" s="404">
        <f t="shared" ca="1" si="6"/>
        <v>6.0084975401018478E-4</v>
      </c>
      <c r="J64" s="404">
        <f t="shared" ca="1" si="7"/>
        <v>8.1756096093430894</v>
      </c>
      <c r="K64" s="411">
        <f t="shared" ca="1" si="8"/>
        <v>8.1623472364008602</v>
      </c>
      <c r="L64" s="414">
        <f t="shared" ca="1" si="9"/>
        <v>11.564414266453218</v>
      </c>
      <c r="M64" s="417">
        <f t="shared" ca="1" si="10"/>
        <v>2.8309145605952248</v>
      </c>
    </row>
    <row r="65" spans="2:13" x14ac:dyDescent="0.2">
      <c r="B65" s="426">
        <f t="shared" si="12"/>
        <v>126</v>
      </c>
      <c r="C65" s="404">
        <f t="shared" si="1"/>
        <v>3.0549004043139831E-3</v>
      </c>
      <c r="D65" s="401">
        <f ca="1">MpropuPlein+1.5*MasseSans</f>
        <v>6.1599000000000004</v>
      </c>
      <c r="E65" s="401">
        <f t="shared" ca="1" si="2"/>
        <v>6.1221000000000005</v>
      </c>
      <c r="F65" s="401">
        <f t="shared" ca="1" si="3"/>
        <v>6.0843000000000007</v>
      </c>
      <c r="G65" s="408">
        <f t="shared" ca="1" si="4"/>
        <v>1.8232630959964702</v>
      </c>
      <c r="H65" s="404">
        <f t="shared" ca="1" si="5"/>
        <v>4.9899550878195105E-4</v>
      </c>
      <c r="I65" s="404">
        <f t="shared" ca="1" si="6"/>
        <v>5.0209562387028631E-4</v>
      </c>
      <c r="J65" s="404">
        <f t="shared" ca="1" si="7"/>
        <v>3.6443165960950039</v>
      </c>
      <c r="K65" s="411">
        <f t="shared" ca="1" si="8"/>
        <v>3.642109141853251</v>
      </c>
      <c r="L65" s="414">
        <f t="shared" ca="1" si="9"/>
        <v>4.3201809215867906</v>
      </c>
      <c r="M65" s="417">
        <f t="shared" ca="1" si="10"/>
        <v>2.3711809617613469</v>
      </c>
    </row>
    <row r="66" spans="2:13" x14ac:dyDescent="0.2">
      <c r="B66" s="426">
        <f t="shared" si="12"/>
        <v>126</v>
      </c>
      <c r="C66" s="404">
        <f t="shared" si="1"/>
        <v>3.0549004043139831E-3</v>
      </c>
      <c r="D66" s="401">
        <f ca="1">MpropuPlein+1.75*MasseSans</f>
        <v>7.1599000000000004</v>
      </c>
      <c r="E66" s="401">
        <f t="shared" ca="1" si="2"/>
        <v>7.1221000000000005</v>
      </c>
      <c r="F66" s="401">
        <f t="shared" ca="1" si="3"/>
        <v>7.0843000000000007</v>
      </c>
      <c r="G66" s="408">
        <f t="shared" ca="1" si="4"/>
        <v>0.18985959197427604</v>
      </c>
      <c r="H66" s="404">
        <f t="shared" ca="1" si="5"/>
        <v>4.2893253454935804E-4</v>
      </c>
      <c r="I66" s="404">
        <f t="shared" ca="1" si="6"/>
        <v>4.3122120806769656E-4</v>
      </c>
      <c r="J66" s="404">
        <f t="shared" ca="1" si="7"/>
        <v>0.37969857028963611</v>
      </c>
      <c r="K66" s="411">
        <f t="shared" ca="1" si="8"/>
        <v>0.37967795842089558</v>
      </c>
      <c r="L66" s="414">
        <f t="shared" ca="1" si="9"/>
        <v>0.38704591460038318</v>
      </c>
      <c r="M66" s="417">
        <f t="shared" ca="1" si="10"/>
        <v>2.0387030740527883</v>
      </c>
    </row>
    <row r="67" spans="2:13" x14ac:dyDescent="0.2">
      <c r="B67" s="427">
        <f t="shared" si="12"/>
        <v>126</v>
      </c>
      <c r="C67" s="405">
        <f t="shared" si="1"/>
        <v>3.0549004043139831E-3</v>
      </c>
      <c r="D67" s="402">
        <f ca="1">MpropuPlein+2*MasseSans</f>
        <v>8.1599000000000004</v>
      </c>
      <c r="E67" s="402">
        <f t="shared" ca="1" si="2"/>
        <v>8.1220999999999997</v>
      </c>
      <c r="F67" s="402">
        <f t="shared" ca="1" si="3"/>
        <v>8.0843000000000007</v>
      </c>
      <c r="G67" s="409">
        <f t="shared" ca="1" si="4"/>
        <v>0</v>
      </c>
      <c r="H67" s="405">
        <f t="shared" ca="1" si="5"/>
        <v>3.761219886869139E-4</v>
      </c>
      <c r="I67" s="405">
        <f t="shared" ca="1" si="6"/>
        <v>3.7788063336516243E-4</v>
      </c>
      <c r="J67" s="405">
        <f t="shared" ca="1" si="7"/>
        <v>0</v>
      </c>
      <c r="K67" s="412">
        <f t="shared" ca="1" si="8"/>
        <v>0</v>
      </c>
      <c r="L67" s="415">
        <f t="shared" ca="1" si="9"/>
        <v>0</v>
      </c>
      <c r="M67" s="418">
        <f t="shared" ca="1" si="10"/>
        <v>2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9:D9"/>
    <mergeCell ref="C2:D3"/>
    <mergeCell ref="C4:D4"/>
    <mergeCell ref="C5:D5"/>
    <mergeCell ref="C7:D7"/>
    <mergeCell ref="C8:D8"/>
    <mergeCell ref="C10:D10"/>
    <mergeCell ref="C12:D12"/>
    <mergeCell ref="C14:D14"/>
    <mergeCell ref="C15:D15"/>
    <mergeCell ref="C16:D16"/>
    <mergeCell ref="C11:D11"/>
  </mergeCells>
  <dataValidations count="3">
    <dataValidation type="decimal" errorStyle="warning" showErrorMessage="1" errorTitle="Cx" error="Le Cx est souvent compris entre 0 et 1._x000a_Cx may be between 0 &amp; 1." sqref="C16:D16" xr:uid="{00000000-0002-0000-0500-000000000000}">
      <formula1>0</formula1>
      <formula2>1</formula2>
    </dataValidation>
    <dataValidation operator="greaterThanOrEqual" sqref="C10:D11" xr:uid="{00000000-0002-0000-0500-000001000000}"/>
    <dataValidation sqref="C12:D12" xr:uid="{00000000-0002-0000-0500-000002000000}"/>
  </dataValidations>
  <hyperlinks>
    <hyperlink ref="B12" location="Stabilito!C17" display="Stabilito!C17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4" name="Spinner 31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5" name="Spinner 170">
              <controlPr defaultSize="0" print="0" autoPict="0">
                <anchor moveWithCells="1" sizeWithCells="1">
                  <from>
                    <xdr:col>3</xdr:col>
                    <xdr:colOff>638175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C2:H59"/>
  <sheetViews>
    <sheetView showGridLines="0" workbookViewId="0">
      <selection activeCell="G29" sqref="G29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3.42578125" customWidth="1"/>
  </cols>
  <sheetData>
    <row r="2" spans="3:8" x14ac:dyDescent="0.2">
      <c r="C2" s="591" t="s">
        <v>179</v>
      </c>
      <c r="D2" s="591"/>
    </row>
    <row r="3" spans="3:8" x14ac:dyDescent="0.2">
      <c r="C3" s="591"/>
      <c r="D3" s="591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419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123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153</v>
      </c>
    </row>
    <row r="30" spans="3:8" x14ac:dyDescent="0.2">
      <c r="C30" t="s">
        <v>300</v>
      </c>
    </row>
    <row r="31" spans="3:8" x14ac:dyDescent="0.2">
      <c r="C31" s="49" t="s">
        <v>111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103</v>
      </c>
      <c r="D34" t="s">
        <v>43</v>
      </c>
      <c r="E34" s="47" t="s">
        <v>102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104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105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106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107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108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109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110</v>
      </c>
      <c r="D41" t="s">
        <v>43</v>
      </c>
      <c r="E41" s="16">
        <v>40658</v>
      </c>
      <c r="F41" t="s">
        <v>53</v>
      </c>
    </row>
    <row r="42" spans="3:6" x14ac:dyDescent="0.2">
      <c r="C42" t="s">
        <v>180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327</v>
      </c>
      <c r="D43" t="s">
        <v>43</v>
      </c>
      <c r="E43" s="16">
        <v>41194</v>
      </c>
      <c r="F43" t="s">
        <v>331</v>
      </c>
    </row>
    <row r="44" spans="3:6" x14ac:dyDescent="0.2">
      <c r="C44" t="s">
        <v>328</v>
      </c>
      <c r="D44" t="s">
        <v>43</v>
      </c>
      <c r="E44" s="16">
        <v>41329</v>
      </c>
      <c r="F44" t="s">
        <v>332</v>
      </c>
    </row>
    <row r="45" spans="3:6" x14ac:dyDescent="0.2">
      <c r="C45" t="s">
        <v>416</v>
      </c>
      <c r="D45" t="s">
        <v>395</v>
      </c>
      <c r="E45" s="16">
        <v>41947</v>
      </c>
      <c r="F45" t="s">
        <v>415</v>
      </c>
    </row>
    <row r="46" spans="3:6" x14ac:dyDescent="0.2">
      <c r="C46" t="s">
        <v>420</v>
      </c>
      <c r="D46" t="s">
        <v>395</v>
      </c>
      <c r="E46" s="16">
        <v>41965</v>
      </c>
      <c r="F46" t="s">
        <v>418</v>
      </c>
    </row>
    <row r="47" spans="3:6" x14ac:dyDescent="0.2">
      <c r="C47" t="s">
        <v>542</v>
      </c>
      <c r="D47" t="s">
        <v>395</v>
      </c>
      <c r="E47" s="16">
        <v>43048</v>
      </c>
      <c r="F47" t="s">
        <v>543</v>
      </c>
    </row>
    <row r="48" spans="3:6" x14ac:dyDescent="0.2">
      <c r="C48" t="s">
        <v>547</v>
      </c>
      <c r="D48" t="s">
        <v>395</v>
      </c>
      <c r="E48" s="16">
        <v>44160</v>
      </c>
      <c r="F48" t="s">
        <v>548</v>
      </c>
    </row>
    <row r="49" spans="3:6" x14ac:dyDescent="0.2">
      <c r="E49" s="16"/>
    </row>
    <row r="51" spans="3:6" x14ac:dyDescent="0.2">
      <c r="C51" s="14" t="str">
        <f>IF(Lang="Français","Paramètres de référence :","Reference parameters:")</f>
        <v>Paramètres de référence :</v>
      </c>
    </row>
    <row r="52" spans="3:6" x14ac:dyDescent="0.2">
      <c r="C52" s="62" t="str">
        <f>IF(Lang="Français","Gravité g :","Gravity g")</f>
        <v>Gravité g :</v>
      </c>
      <c r="E52" s="62">
        <v>9.81</v>
      </c>
      <c r="F52" s="62" t="s">
        <v>7</v>
      </c>
    </row>
    <row r="53" spans="3:6" x14ac:dyDescent="0.2">
      <c r="C53" s="62" t="str">
        <f>IF(Lang="Français","Masse volumique de l'air ρ :","Air density ρ")</f>
        <v>Masse volumique de l'air ρ :</v>
      </c>
      <c r="E53" s="63">
        <v>1.2250000000000001</v>
      </c>
      <c r="F53" s="62" t="s">
        <v>8</v>
      </c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  <row r="59" spans="3:6" x14ac:dyDescent="0.2">
      <c r="C59" s="48"/>
    </row>
  </sheetData>
  <sheetProtection password="C6AC" sheet="1" objects="1" scenarios="1"/>
  <mergeCells count="1">
    <mergeCell ref="C2:D3"/>
  </mergeCells>
  <phoneticPr fontId="8" type="noConversion"/>
  <hyperlinks>
    <hyperlink ref="H13" r:id="rId1" xr:uid="{00000000-0004-0000-0600-000000000000}"/>
    <hyperlink ref="H22" r:id="rId2" xr:uid="{00000000-0004-0000-0600-000001000000}"/>
    <hyperlink ref="H26" r:id="rId3" xr:uid="{00000000-0004-0000-0600-000002000000}"/>
  </hyperlinks>
  <pageMargins left="0.39370078740157483" right="0.39370078740157483" top="0.39370078740157483" bottom="0.39370078740157483" header="0" footer="0"/>
  <pageSetup scale="73" firstPageNumber="0" orientation="portrait" horizontalDpi="300" verticalDpi="300" r:id="rId4"/>
  <headerFooter alignWithMargins="0"/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42578125" defaultRowHeight="12.75" x14ac:dyDescent="0.2"/>
  <cols>
    <col min="1" max="2" width="2.140625" customWidth="1"/>
    <col min="3" max="3" width="12.42578125" customWidth="1"/>
    <col min="4" max="4" width="21" customWidth="1"/>
    <col min="7" max="7" width="26.42578125" customWidth="1"/>
    <col min="8" max="9" width="6.7109375" customWidth="1"/>
    <col min="10" max="10" width="10" customWidth="1"/>
    <col min="11" max="11" width="13" customWidth="1"/>
    <col min="12" max="12" width="21.28515625" customWidth="1"/>
    <col min="14" max="14" width="2.140625" customWidth="1"/>
    <col min="18" max="19" width="16.285156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429</v>
      </c>
      <c r="N3" s="75"/>
      <c r="O3" s="6"/>
      <c r="P3" s="273" t="s">
        <v>340</v>
      </c>
      <c r="Q3" s="441">
        <f>Long_ogive</f>
        <v>275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462</v>
      </c>
      <c r="E5" t="str">
        <f>Propu</f>
        <v>Pandora (Pro24-6G BS)</v>
      </c>
      <c r="G5" t="s">
        <v>459</v>
      </c>
      <c r="H5">
        <f>MasseSans</f>
        <v>4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455</v>
      </c>
      <c r="E6" s="2" t="str">
        <f>Trajecto!H32</f>
        <v>gris/rouge</v>
      </c>
      <c r="G6" t="s">
        <v>460</v>
      </c>
      <c r="H6">
        <f>D_ref</f>
        <v>84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457</v>
      </c>
      <c r="E7" s="2" t="str">
        <f>Trajecto!H33</f>
        <v>rose</v>
      </c>
      <c r="G7" t="s">
        <v>5</v>
      </c>
      <c r="H7">
        <f>Cx</f>
        <v>0.4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458</v>
      </c>
      <c r="E8" s="2">
        <f>S_para</f>
        <v>0.24</v>
      </c>
      <c r="G8" t="s">
        <v>461</v>
      </c>
      <c r="H8">
        <f>L_rampe</f>
        <v>0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456</v>
      </c>
      <c r="E9" s="2"/>
      <c r="G9" t="s">
        <v>147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454</v>
      </c>
      <c r="E11" s="243">
        <f>MasseSans</f>
        <v>4</v>
      </c>
      <c r="F11" s="246" t="s">
        <v>124</v>
      </c>
      <c r="G11" s="246" t="s">
        <v>126</v>
      </c>
      <c r="H11" s="662" t="e">
        <f ca="1">Vsortie_de_rampe</f>
        <v>#N/A</v>
      </c>
      <c r="I11" s="663"/>
      <c r="J11" s="76"/>
      <c r="N11" s="75"/>
      <c r="P11" s="48"/>
      <c r="Q11" s="436"/>
      <c r="R11" s="48"/>
      <c r="S11" s="48"/>
      <c r="T11" s="48"/>
      <c r="U11" s="440" t="str">
        <f>IF(RIGHT(Nb_diam,1)=",", "", X_j)</f>
        <v/>
      </c>
    </row>
    <row r="12" spans="2:21" ht="13.5" thickBot="1" x14ac:dyDescent="0.25">
      <c r="B12" s="74"/>
      <c r="C12" s="12"/>
      <c r="D12" s="276"/>
      <c r="E12" s="244"/>
      <c r="F12" s="6" t="s">
        <v>124</v>
      </c>
      <c r="G12" s="6" t="s">
        <v>127</v>
      </c>
      <c r="H12" s="664">
        <f>Finesse</f>
        <v>11.904761904761905</v>
      </c>
      <c r="I12" s="665"/>
      <c r="J12" s="76"/>
      <c r="N12" s="75"/>
      <c r="O12" s="6"/>
      <c r="P12" s="273" t="s">
        <v>341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0.4</v>
      </c>
      <c r="F13" s="6" t="s">
        <v>124</v>
      </c>
      <c r="G13" s="6" t="s">
        <v>433</v>
      </c>
      <c r="H13" s="664">
        <f>Cn</f>
        <v>15.821745828775716</v>
      </c>
      <c r="I13" s="665"/>
      <c r="J13" s="76"/>
      <c r="N13" s="75"/>
      <c r="O13" s="6"/>
      <c r="P13" s="48"/>
      <c r="Q13" s="436"/>
      <c r="R13" s="48"/>
      <c r="S13" s="48"/>
      <c r="T13" s="48"/>
      <c r="U13" s="440" t="str">
        <f>IF(RIGHT(Nb_diam,1)=",", "", X_r)</f>
        <v/>
      </c>
    </row>
    <row r="14" spans="2:21" x14ac:dyDescent="0.2">
      <c r="B14" s="74"/>
      <c r="C14" s="12"/>
      <c r="D14" s="276" t="s">
        <v>144</v>
      </c>
      <c r="E14" s="244">
        <f>L_rampe</f>
        <v>0</v>
      </c>
      <c r="F14" s="6" t="s">
        <v>124</v>
      </c>
      <c r="G14" s="6" t="s">
        <v>128</v>
      </c>
      <c r="H14" s="247">
        <f ca="1">MS_min</f>
        <v>3.5524019266622893</v>
      </c>
      <c r="I14" s="254">
        <f ca="1">MS_max</f>
        <v>3.6193578584533501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145</v>
      </c>
      <c r="E15" s="244">
        <f>ep_ail</f>
        <v>4</v>
      </c>
      <c r="F15" s="6" t="s">
        <v>124</v>
      </c>
      <c r="G15" s="6" t="s">
        <v>125</v>
      </c>
      <c r="H15" s="247">
        <f ca="1">MS_Cn_min</f>
        <v>56.205200365303895</v>
      </c>
      <c r="I15" s="254">
        <f ca="1">MS_Cn_max</f>
        <v>57.264560099830902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146</v>
      </c>
      <c r="E16" s="244">
        <f>Q_ail</f>
        <v>4</v>
      </c>
      <c r="F16" s="6" t="s">
        <v>129</v>
      </c>
      <c r="G16" s="6" t="s">
        <v>130</v>
      </c>
      <c r="H16" s="247">
        <f ca="1">V_para</f>
        <v>16.509527861331517</v>
      </c>
      <c r="I16" s="253">
        <f>V_satellite</f>
        <v>10.960038730752361</v>
      </c>
      <c r="J16" s="76"/>
      <c r="N16" s="75"/>
      <c r="P16" s="48"/>
      <c r="Q16" s="436"/>
      <c r="R16" s="48"/>
      <c r="S16" s="48"/>
      <c r="T16" s="48"/>
      <c r="U16" s="440" t="str">
        <f>IF(RIGHT(Nb_diam,1)=",", "", l_j)</f>
        <v/>
      </c>
    </row>
    <row r="17" spans="2:21" x14ac:dyDescent="0.2">
      <c r="B17" s="74"/>
      <c r="C17" s="12"/>
      <c r="D17" s="276" t="s">
        <v>147</v>
      </c>
      <c r="E17" s="272" t="str">
        <f>Forme_ogive</f>
        <v>Conique (droite)</v>
      </c>
      <c r="F17" s="6" t="s">
        <v>131</v>
      </c>
      <c r="G17" s="6" t="s">
        <v>132</v>
      </c>
      <c r="H17" s="664">
        <f>T_para</f>
        <v>18.7</v>
      </c>
      <c r="I17" s="665"/>
      <c r="J17" s="258"/>
      <c r="N17" s="75"/>
      <c r="P17" s="434" t="s">
        <v>342</v>
      </c>
      <c r="Q17" s="440" t="str">
        <f>IF(RIGHT(Nb_diam,1)=",", "", D2j)</f>
        <v/>
      </c>
      <c r="R17" s="48"/>
      <c r="S17" s="48"/>
      <c r="T17" s="48"/>
      <c r="U17" s="436"/>
    </row>
    <row r="18" spans="2:21" x14ac:dyDescent="0.2">
      <c r="B18" s="74"/>
      <c r="C18" s="12"/>
      <c r="D18" s="276" t="s">
        <v>149</v>
      </c>
      <c r="E18" s="244">
        <f ca="1">XpropuRef-Long_propu</f>
        <v>722</v>
      </c>
      <c r="F18" s="12" t="s">
        <v>131</v>
      </c>
      <c r="G18" s="12" t="s">
        <v>427</v>
      </c>
      <c r="H18" s="594">
        <f ca="1">T_para-Combustion-Depotage</f>
        <v>17.73</v>
      </c>
      <c r="I18" s="670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133</v>
      </c>
      <c r="G19" s="274" t="s">
        <v>426</v>
      </c>
      <c r="H19" s="671">
        <f ca="1">Portee_balistique</f>
        <v>712.18513894933824</v>
      </c>
      <c r="I19" s="672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 t="str">
        <f>IF(RIGHT(Nb_diam,1)=",", "", l_r)</f>
        <v/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453</v>
      </c>
      <c r="D22" s="528" t="s">
        <v>437</v>
      </c>
      <c r="E22" s="529"/>
      <c r="F22" s="530" t="s">
        <v>442</v>
      </c>
      <c r="G22" s="528" t="s">
        <v>447</v>
      </c>
      <c r="I22" s="531"/>
      <c r="J22" s="532" t="s">
        <v>157</v>
      </c>
      <c r="K22" s="528" t="s">
        <v>158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452</v>
      </c>
      <c r="D23" s="529">
        <f>XcgSans</f>
        <v>520</v>
      </c>
      <c r="E23" s="529" t="s">
        <v>39</v>
      </c>
      <c r="F23" s="530">
        <f>m_ail</f>
        <v>170</v>
      </c>
      <c r="G23" s="528">
        <f>m_can</f>
        <v>70</v>
      </c>
      <c r="I23" s="531" t="s">
        <v>448</v>
      </c>
      <c r="J23" s="530">
        <f>l_j</f>
        <v>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440</v>
      </c>
      <c r="D24" s="528">
        <f>Long_tot</f>
        <v>1000</v>
      </c>
      <c r="E24" s="529" t="s">
        <v>443</v>
      </c>
      <c r="F24" s="530">
        <f>n_ail</f>
        <v>80</v>
      </c>
      <c r="G24" s="528">
        <f>n_can</f>
        <v>10</v>
      </c>
      <c r="I24" s="531" t="s">
        <v>449</v>
      </c>
      <c r="J24" s="530">
        <f>D1j</f>
        <v>84</v>
      </c>
      <c r="K24" s="528">
        <f>D1r</f>
        <v>84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441</v>
      </c>
      <c r="D25" s="528">
        <f>XpropuRef</f>
        <v>950</v>
      </c>
      <c r="E25" s="529" t="s">
        <v>444</v>
      </c>
      <c r="F25" s="530">
        <f>p_ail</f>
        <v>140</v>
      </c>
      <c r="G25" s="528">
        <f>p_can</f>
        <v>40</v>
      </c>
      <c r="I25" s="531" t="s">
        <v>450</v>
      </c>
      <c r="J25" s="530">
        <f>D2j</f>
        <v>64</v>
      </c>
      <c r="K25" s="528">
        <f>D2r</f>
        <v>45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438</v>
      </c>
      <c r="D26" s="528">
        <f>D_ref</f>
        <v>84</v>
      </c>
      <c r="E26" s="529" t="s">
        <v>445</v>
      </c>
      <c r="F26" s="530">
        <f>E_ail</f>
        <v>110</v>
      </c>
      <c r="G26" s="528">
        <f>E_can</f>
        <v>50</v>
      </c>
      <c r="I26" s="531" t="s">
        <v>451</v>
      </c>
      <c r="J26" s="530">
        <f>X_j</f>
        <v>500</v>
      </c>
      <c r="K26" s="528">
        <f>X_r</f>
        <v>900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439</v>
      </c>
      <c r="D27" s="528">
        <f>Long_ogive</f>
        <v>275</v>
      </c>
      <c r="E27" s="529" t="s">
        <v>446</v>
      </c>
      <c r="F27" s="530">
        <f>X_ail</f>
        <v>1000</v>
      </c>
      <c r="G27" s="528">
        <f>X_can</f>
        <v>700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67" t="s">
        <v>142</v>
      </c>
      <c r="D29" s="667" t="s">
        <v>134</v>
      </c>
      <c r="E29" s="667" t="s">
        <v>135</v>
      </c>
      <c r="F29" s="667"/>
      <c r="G29" s="667"/>
      <c r="H29" s="668" t="s">
        <v>136</v>
      </c>
      <c r="I29" s="668"/>
      <c r="J29" s="668"/>
      <c r="K29" s="668"/>
      <c r="L29" s="667" t="s">
        <v>137</v>
      </c>
      <c r="M29" s="667" t="s">
        <v>138</v>
      </c>
      <c r="N29" s="75"/>
      <c r="O29" s="273" t="s">
        <v>430</v>
      </c>
      <c r="P29" s="441">
        <f>n_ail</f>
        <v>80</v>
      </c>
      <c r="Q29" s="2"/>
      <c r="R29" s="48"/>
      <c r="S29" s="48"/>
      <c r="T29" s="48"/>
      <c r="U29" s="12" t="s">
        <v>434</v>
      </c>
    </row>
    <row r="30" spans="2:21" ht="13.5" thickBot="1" x14ac:dyDescent="0.25">
      <c r="B30" s="74"/>
      <c r="C30" s="667"/>
      <c r="D30" s="667"/>
      <c r="E30" s="667"/>
      <c r="F30" s="667"/>
      <c r="G30" s="667"/>
      <c r="H30" s="668" t="s">
        <v>139</v>
      </c>
      <c r="I30" s="668"/>
      <c r="J30" s="69" t="s">
        <v>140</v>
      </c>
      <c r="K30" s="70" t="s">
        <v>141</v>
      </c>
      <c r="L30" s="667"/>
      <c r="M30" s="667"/>
      <c r="N30" s="75"/>
      <c r="P30" s="12"/>
      <c r="R30" s="48"/>
      <c r="S30" s="48"/>
      <c r="T30" s="226" t="s">
        <v>432</v>
      </c>
      <c r="U30" s="525">
        <f>[0]!p_can</f>
        <v>40</v>
      </c>
    </row>
    <row r="31" spans="2:21" ht="13.5" thickBot="1" x14ac:dyDescent="0.25">
      <c r="B31" s="74"/>
      <c r="C31" s="83">
        <f>Beta_rampe</f>
        <v>80.569999999999993</v>
      </c>
      <c r="D31" s="84">
        <f ca="1">Portee_balistique</f>
        <v>712.18513894933824</v>
      </c>
      <c r="E31" s="666">
        <f ca="1">T_para+Dt_para</f>
        <v>131.12596817020346</v>
      </c>
      <c r="F31" s="666"/>
      <c r="G31" s="666"/>
      <c r="H31" s="669">
        <f ca="1">Altitude_culmi</f>
        <v>1860.1319566312261</v>
      </c>
      <c r="I31" s="669"/>
      <c r="J31" s="85">
        <f ca="1">Temps_culmi</f>
        <v>19.59999999999998</v>
      </c>
      <c r="K31" s="86">
        <f ca="1">Vit_culmi</f>
        <v>18.885987952144752</v>
      </c>
      <c r="L31" s="84">
        <f ca="1">Acc_max</f>
        <v>41.211274701340855</v>
      </c>
      <c r="M31" s="86">
        <f ca="1">Vit_max</f>
        <v>150.91901372530018</v>
      </c>
      <c r="N31" s="75"/>
      <c r="O31" s="273" t="s">
        <v>436</v>
      </c>
      <c r="P31" s="441">
        <f>ep_ail</f>
        <v>4</v>
      </c>
      <c r="Q31" s="2"/>
      <c r="R31" s="48"/>
      <c r="S31" s="48"/>
      <c r="T31" s="226" t="s">
        <v>344</v>
      </c>
      <c r="U31" s="525">
        <f>[0]!m_can</f>
        <v>70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435</v>
      </c>
      <c r="P32" s="524">
        <f>Q_ail</f>
        <v>4</v>
      </c>
      <c r="Q32" s="2"/>
      <c r="R32" s="48"/>
      <c r="S32" s="48"/>
      <c r="T32" s="226" t="s">
        <v>430</v>
      </c>
      <c r="U32" s="525">
        <f>[0]!n_can</f>
        <v>10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431</v>
      </c>
      <c r="U33" s="525">
        <f>[0]!E_can</f>
        <v>50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431</v>
      </c>
      <c r="Q34" s="441">
        <f>E_ail</f>
        <v>110</v>
      </c>
      <c r="T34" s="226" t="s">
        <v>436</v>
      </c>
      <c r="U34" s="525">
        <f>[0]!ep_can</f>
        <v>2</v>
      </c>
    </row>
    <row r="35" spans="2:21" x14ac:dyDescent="0.2">
      <c r="O35" s="2"/>
      <c r="P35" s="6"/>
      <c r="Q35" s="6"/>
      <c r="T35" s="226" t="s">
        <v>435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196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150</v>
      </c>
      <c r="E40" s="246">
        <f>D_ref</f>
        <v>84</v>
      </c>
      <c r="F40" s="265"/>
      <c r="G40" s="265"/>
      <c r="H40" s="261" t="s">
        <v>199</v>
      </c>
      <c r="I40" s="261" t="s">
        <v>200</v>
      </c>
      <c r="J40" s="262" t="s">
        <v>201</v>
      </c>
      <c r="N40" s="75"/>
    </row>
    <row r="41" spans="2:21" x14ac:dyDescent="0.2">
      <c r="B41" s="74"/>
      <c r="D41" s="276" t="s">
        <v>148</v>
      </c>
      <c r="E41" s="6">
        <f>Long_ogive</f>
        <v>275</v>
      </c>
      <c r="F41" s="2"/>
      <c r="G41" s="2" t="s">
        <v>202</v>
      </c>
      <c r="H41" s="6">
        <f>MasseSans</f>
        <v>4</v>
      </c>
      <c r="I41" s="6">
        <f ca="1">MasseVide</f>
        <v>4.0842999999999998</v>
      </c>
      <c r="J41" s="244">
        <f ca="1">MassePlein</f>
        <v>4.1599000000000004</v>
      </c>
      <c r="N41" s="75"/>
    </row>
    <row r="42" spans="2:21" x14ac:dyDescent="0.2">
      <c r="B42" s="74"/>
      <c r="D42" s="276" t="s">
        <v>151</v>
      </c>
      <c r="E42" s="6">
        <f>X_ail-m_ail</f>
        <v>830</v>
      </c>
      <c r="F42" s="255"/>
      <c r="G42" s="255" t="s">
        <v>219</v>
      </c>
      <c r="H42" s="263">
        <f>XcgSans</f>
        <v>520</v>
      </c>
      <c r="I42" s="263">
        <f ca="1">XcgVide</f>
        <v>526.52224371373313</v>
      </c>
      <c r="J42" s="245">
        <f ca="1">XcgPlein</f>
        <v>532.14654198418225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170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80</v>
      </c>
      <c r="F44" s="246" t="s">
        <v>203</v>
      </c>
      <c r="G44" s="246" t="s">
        <v>208</v>
      </c>
      <c r="H44" s="662" t="e">
        <f ca="1">Vsortie_de_rampe</f>
        <v>#N/A</v>
      </c>
      <c r="I44" s="663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140</v>
      </c>
      <c r="F45" s="6" t="s">
        <v>204</v>
      </c>
      <c r="G45" s="6" t="s">
        <v>209</v>
      </c>
      <c r="H45" s="664">
        <f>Finesse</f>
        <v>11.904761904761905</v>
      </c>
      <c r="I45" s="665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110</v>
      </c>
      <c r="F46" s="6" t="s">
        <v>205</v>
      </c>
      <c r="G46" s="6" t="s">
        <v>210</v>
      </c>
      <c r="H46" s="664">
        <f>Cn</f>
        <v>15.821745828775716</v>
      </c>
      <c r="I46" s="665"/>
      <c r="N46" s="75"/>
    </row>
    <row r="47" spans="2:21" x14ac:dyDescent="0.2">
      <c r="B47" s="74"/>
      <c r="D47" s="276" t="s">
        <v>145</v>
      </c>
      <c r="E47" s="244">
        <f>ep_ail</f>
        <v>4</v>
      </c>
      <c r="F47" s="6" t="s">
        <v>206</v>
      </c>
      <c r="G47" s="6" t="s">
        <v>211</v>
      </c>
      <c r="H47" s="247">
        <f ca="1">MS_min</f>
        <v>3.5524019266622893</v>
      </c>
      <c r="I47" s="254">
        <f ca="1">MS_max</f>
        <v>3.6193578584533501</v>
      </c>
      <c r="N47" s="75"/>
    </row>
    <row r="48" spans="2:21" x14ac:dyDescent="0.2">
      <c r="B48" s="74"/>
      <c r="D48" s="276" t="s">
        <v>146</v>
      </c>
      <c r="E48" s="244">
        <f>Q_ail</f>
        <v>4</v>
      </c>
      <c r="F48" s="274" t="s">
        <v>207</v>
      </c>
      <c r="G48" s="274" t="s">
        <v>212</v>
      </c>
      <c r="H48" s="256">
        <f ca="1">MS_Cn_min</f>
        <v>56.205200365303895</v>
      </c>
      <c r="I48" s="264">
        <f ca="1">MS_Cn_max</f>
        <v>57.264560099830902</v>
      </c>
      <c r="N48" s="75"/>
    </row>
    <row r="49" spans="2:14" x14ac:dyDescent="0.2">
      <c r="B49" s="74"/>
      <c r="D49" s="276" t="s">
        <v>149</v>
      </c>
      <c r="E49" s="244">
        <f ca="1">XpropuRef-Long_propu</f>
        <v>722</v>
      </c>
      <c r="N49" s="75"/>
    </row>
    <row r="50" spans="2:14" x14ac:dyDescent="0.2">
      <c r="B50" s="74"/>
      <c r="D50" s="276" t="s">
        <v>147</v>
      </c>
      <c r="E50" s="272" t="str">
        <f>Forme_ogive</f>
        <v>Conique (droite)</v>
      </c>
      <c r="F50" s="273" t="s">
        <v>184</v>
      </c>
      <c r="G50" s="275" t="s">
        <v>5</v>
      </c>
      <c r="H50" s="246">
        <f>Cx</f>
        <v>0.4</v>
      </c>
      <c r="I50" s="265"/>
      <c r="J50" s="266"/>
      <c r="N50" s="75"/>
    </row>
    <row r="51" spans="2:14" x14ac:dyDescent="0.2">
      <c r="B51" s="74"/>
      <c r="D51" s="276" t="s">
        <v>143</v>
      </c>
      <c r="E51" s="244">
        <f>Long_tot</f>
        <v>1000</v>
      </c>
      <c r="G51" s="276" t="s">
        <v>213</v>
      </c>
      <c r="H51" s="6">
        <f>Sref</f>
        <v>7.3017694409323953E-3</v>
      </c>
      <c r="J51" s="267"/>
      <c r="N51" s="75"/>
    </row>
    <row r="52" spans="2:14" x14ac:dyDescent="0.2">
      <c r="B52" s="74"/>
      <c r="D52" s="276" t="s">
        <v>197</v>
      </c>
      <c r="E52" s="244">
        <f>MAX(D_ref,D_ail,D_og,(RIGHT(Nb_diam,1)=",")*MAX(D1j,D1r,D2j,D2r))</f>
        <v>84</v>
      </c>
      <c r="G52" s="276" t="s">
        <v>214</v>
      </c>
      <c r="H52" s="6">
        <f>Beta_rampe</f>
        <v>80.569999999999993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198</v>
      </c>
      <c r="E53" s="260">
        <f>E_ail*2+D_ail</f>
        <v>304</v>
      </c>
      <c r="G53" s="278" t="s">
        <v>216</v>
      </c>
      <c r="H53" s="247">
        <f ca="1">Temps_culmi</f>
        <v>19.59999999999998</v>
      </c>
      <c r="I53" s="259"/>
      <c r="J53" s="268"/>
      <c r="N53" s="75"/>
    </row>
    <row r="54" spans="2:14" x14ac:dyDescent="0.2">
      <c r="B54" s="74"/>
      <c r="G54" s="278" t="s">
        <v>217</v>
      </c>
      <c r="H54" s="242">
        <f ca="1">Altitude_culmi</f>
        <v>1860.1319566312261</v>
      </c>
      <c r="I54" s="259"/>
      <c r="J54" s="268"/>
      <c r="N54" s="75"/>
    </row>
    <row r="55" spans="2:14" x14ac:dyDescent="0.2">
      <c r="B55" s="74"/>
      <c r="C55" s="275" t="s">
        <v>234</v>
      </c>
      <c r="D55" s="249" t="s">
        <v>61</v>
      </c>
      <c r="E55" s="243">
        <f>Long_tot</f>
        <v>1000</v>
      </c>
      <c r="G55" s="278" t="s">
        <v>218</v>
      </c>
      <c r="H55" s="248">
        <f ca="1">Vit_culmi</f>
        <v>18.885987952144752</v>
      </c>
      <c r="I55" s="259"/>
      <c r="J55" s="268"/>
      <c r="N55" s="75"/>
    </row>
    <row r="56" spans="2:14" x14ac:dyDescent="0.2">
      <c r="B56" s="74"/>
      <c r="C56" s="276"/>
      <c r="D56" s="2" t="s">
        <v>220</v>
      </c>
      <c r="E56" s="244">
        <f>MAX(D_ref,D_ail,D_og,(RIGHT(Nb_diam,1)=",")*MAX(D1j,D1r,D2j,D2r))</f>
        <v>84</v>
      </c>
      <c r="G56" s="278" t="s">
        <v>134</v>
      </c>
      <c r="H56" s="242">
        <f ca="1">Portee_balistique</f>
        <v>712.18513894933824</v>
      </c>
      <c r="I56" s="259"/>
      <c r="J56" s="268"/>
      <c r="N56" s="75"/>
    </row>
    <row r="57" spans="2:14" x14ac:dyDescent="0.2">
      <c r="B57" s="74"/>
      <c r="C57" s="276"/>
      <c r="D57" s="2" t="s">
        <v>221</v>
      </c>
      <c r="E57" s="244">
        <f>E_ail*2+D_ail</f>
        <v>304</v>
      </c>
      <c r="G57" s="278" t="s">
        <v>215</v>
      </c>
      <c r="H57" s="242">
        <f ca="1">T_balistique</f>
        <v>41.600000000000293</v>
      </c>
      <c r="I57" s="259"/>
      <c r="J57" s="268"/>
      <c r="N57" s="75"/>
    </row>
    <row r="58" spans="2:14" x14ac:dyDescent="0.2">
      <c r="B58" s="74"/>
      <c r="C58" s="276"/>
      <c r="D58" s="2" t="s">
        <v>222</v>
      </c>
      <c r="E58" s="244">
        <f ca="1">MassePlein</f>
        <v>4.1599000000000004</v>
      </c>
      <c r="G58" s="278" t="s">
        <v>138</v>
      </c>
      <c r="H58" s="248">
        <f ca="1">Vit_max</f>
        <v>150.91901372530018</v>
      </c>
      <c r="I58" s="259"/>
      <c r="J58" s="268"/>
      <c r="N58" s="75"/>
    </row>
    <row r="59" spans="2:14" x14ac:dyDescent="0.2">
      <c r="B59" s="74"/>
      <c r="C59" s="277" t="s">
        <v>235</v>
      </c>
      <c r="D59" s="255" t="s">
        <v>146</v>
      </c>
      <c r="E59" s="260">
        <f>Q_ail</f>
        <v>4</v>
      </c>
      <c r="G59" s="278" t="s">
        <v>137</v>
      </c>
      <c r="H59" s="242">
        <f ca="1">Acc_max</f>
        <v>41.211274701340855</v>
      </c>
      <c r="I59" s="259"/>
      <c r="J59" s="268"/>
      <c r="N59" s="75"/>
    </row>
    <row r="60" spans="2:14" x14ac:dyDescent="0.2">
      <c r="B60" s="74"/>
      <c r="C60" s="12"/>
      <c r="G60" s="269" t="s">
        <v>223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227</v>
      </c>
      <c r="F61" s="243" t="s">
        <v>228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236</v>
      </c>
      <c r="D62" s="2" t="s">
        <v>226</v>
      </c>
      <c r="E62" s="242">
        <f ca="1">2*Acc_max*MassePlein</f>
        <v>342.86956326021567</v>
      </c>
      <c r="F62" s="280">
        <f ca="1">E62/9.81</f>
        <v>34.951025816535747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224</v>
      </c>
      <c r="E63" s="242">
        <f ca="1">2*Acc_max*Masse_ail</f>
        <v>9.0664804342949878</v>
      </c>
      <c r="F63" s="248">
        <f ca="1">E63/9.81</f>
        <v>0.92420799534097731</v>
      </c>
      <c r="G63" s="246" t="s">
        <v>230</v>
      </c>
      <c r="H63" s="288">
        <f>S_ail*(ep_ail/1000)*2000</f>
        <v>0.11</v>
      </c>
      <c r="I63" s="2"/>
      <c r="J63" s="2"/>
      <c r="K63" s="2"/>
      <c r="N63" s="75"/>
    </row>
    <row r="64" spans="2:14" x14ac:dyDescent="0.2">
      <c r="B64" s="74"/>
      <c r="C64" s="277"/>
      <c r="D64" s="255" t="s">
        <v>225</v>
      </c>
      <c r="E64" s="263">
        <f ca="1">0.104*S_ail*Vit_max^2</f>
        <v>32.570464646458795</v>
      </c>
      <c r="F64" s="281">
        <f ca="1">E64/9.81</f>
        <v>3.3201289140121095</v>
      </c>
      <c r="G64" s="274" t="s">
        <v>229</v>
      </c>
      <c r="H64" s="289">
        <f>(E_ail*(m_ail+n_ail)/2)/10^6</f>
        <v>1.375E-2</v>
      </c>
      <c r="I64" s="2"/>
      <c r="J64" s="2"/>
      <c r="K64" s="2"/>
      <c r="N64" s="75"/>
    </row>
    <row r="65" spans="2:14" x14ac:dyDescent="0.2">
      <c r="B65" s="74"/>
      <c r="C65" s="282" t="s">
        <v>243</v>
      </c>
      <c r="D65" s="285" t="s">
        <v>241</v>
      </c>
      <c r="E65" s="286">
        <f ca="1">2*Acc_max*H65</f>
        <v>171.43478163010784</v>
      </c>
      <c r="F65" s="286">
        <f ca="1">E65/9.81</f>
        <v>17.475512908267874</v>
      </c>
      <c r="G65" s="287" t="s">
        <v>242</v>
      </c>
      <c r="H65" s="279">
        <f ca="1">E58/2</f>
        <v>2.0799500000000002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233</v>
      </c>
      <c r="G67" s="249" t="s">
        <v>231</v>
      </c>
      <c r="H67" s="250">
        <f>T_para</f>
        <v>18.7</v>
      </c>
      <c r="I67" s="251">
        <f ca="1">Temps_culmi</f>
        <v>19.59999999999998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232</v>
      </c>
      <c r="G68" s="249" t="s">
        <v>130</v>
      </c>
      <c r="H68" s="250">
        <f ca="1">V_para</f>
        <v>16.509527861331517</v>
      </c>
      <c r="I68" s="251">
        <f>V_satellite</f>
        <v>10.960038730752361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238</v>
      </c>
      <c r="H69" s="247">
        <f>S_para</f>
        <v>0.24</v>
      </c>
      <c r="I69" s="253">
        <f>S_satellite</f>
        <v>0.02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237</v>
      </c>
      <c r="H70" s="247">
        <f ca="1">V_ouverture</f>
        <v>20.995643388557749</v>
      </c>
      <c r="I70" s="253" t="e">
        <f ca="1">V_ouv_sat</f>
        <v>#N/A</v>
      </c>
      <c r="N70" s="75"/>
    </row>
    <row r="71" spans="2:14" x14ac:dyDescent="0.2">
      <c r="B71" s="74"/>
      <c r="C71" s="226"/>
      <c r="F71" s="276"/>
      <c r="G71" s="2" t="s">
        <v>202</v>
      </c>
      <c r="H71" s="247">
        <f ca="1">m_vide</f>
        <v>4.0842999999999998</v>
      </c>
      <c r="I71" s="253">
        <f>m_satellite</f>
        <v>0.15</v>
      </c>
      <c r="N71" s="75"/>
    </row>
    <row r="72" spans="2:14" x14ac:dyDescent="0.2">
      <c r="B72" s="74"/>
      <c r="C72" s="226"/>
      <c r="F72" s="276"/>
      <c r="G72" s="2" t="s">
        <v>239</v>
      </c>
      <c r="H72" s="283">
        <f ca="1">1/2*Rho_moyen*S_para*V_ouverture^2</f>
        <v>64.800105071024845</v>
      </c>
      <c r="I72" s="284" t="e">
        <f ca="1">1/2*Rho_moyen*S_satellite*V_ouv_sat^2</f>
        <v>#N/A</v>
      </c>
      <c r="N72" s="75"/>
    </row>
    <row r="73" spans="2:14" x14ac:dyDescent="0.2">
      <c r="B73" s="74"/>
      <c r="D73" s="2"/>
      <c r="F73" s="277"/>
      <c r="G73" s="255" t="s">
        <v>240</v>
      </c>
      <c r="H73" s="256">
        <f ca="1">H72/9.81</f>
        <v>6.605515297759923</v>
      </c>
      <c r="I73" s="257" t="e">
        <f ca="1">I72/9.81</f>
        <v>#N/A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333</v>
      </c>
      <c r="N78" s="75"/>
    </row>
    <row r="79" spans="2:14" ht="12.75" customHeight="1" x14ac:dyDescent="0.25">
      <c r="B79" s="74"/>
      <c r="E79" s="48"/>
      <c r="F79" s="48"/>
      <c r="G79" s="435" t="s">
        <v>339</v>
      </c>
      <c r="I79" s="448"/>
      <c r="J79" s="48"/>
      <c r="K79" s="48"/>
      <c r="N79" s="75"/>
    </row>
    <row r="80" spans="2:14" x14ac:dyDescent="0.2">
      <c r="B80" s="74"/>
      <c r="C80" s="275" t="s">
        <v>334</v>
      </c>
      <c r="D80" s="243" t="str">
        <f>Nom</f>
        <v>SP02-Beta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l'Aeroipsa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335</v>
      </c>
      <c r="D82" s="244" t="s">
        <v>14</v>
      </c>
      <c r="E82" s="273" t="s">
        <v>340</v>
      </c>
      <c r="F82" s="441">
        <f>Long_ogive</f>
        <v>275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336</v>
      </c>
      <c r="D83" s="433">
        <f ca="1">TODAY()</f>
        <v>45883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 t="str">
        <f>IF(RIGHT(Nb_diam,1)=",", "", X_j)</f>
        <v/>
      </c>
      <c r="K84" s="48"/>
      <c r="N84" s="75"/>
    </row>
    <row r="85" spans="2:14" ht="13.5" thickBot="1" x14ac:dyDescent="0.25">
      <c r="B85" s="74"/>
      <c r="C85" s="275" t="s">
        <v>337</v>
      </c>
      <c r="D85" s="243" t="str">
        <f>Propu</f>
        <v>Pandora (Pro24-6G BS)</v>
      </c>
      <c r="E85" s="273" t="s">
        <v>341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338</v>
      </c>
      <c r="D86" s="260" t="s">
        <v>14</v>
      </c>
      <c r="E86" s="48"/>
      <c r="F86" s="436"/>
      <c r="G86" s="48"/>
      <c r="H86" s="48"/>
      <c r="I86" s="48"/>
      <c r="J86" s="440" t="str">
        <f>IF(RIGHT(Nb_diam,1)=",", "", X_r)</f>
        <v/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 t="str">
        <f>IF(RIGHT(Nb_diam,1)=",", "", l_j)</f>
        <v/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342</v>
      </c>
      <c r="F90" s="440" t="str">
        <f>IF(RIGHT(Nb_diam,1)=",", "", D2j)</f>
        <v/>
      </c>
      <c r="G90" s="48"/>
      <c r="H90" s="48"/>
      <c r="I90" s="48"/>
      <c r="J90" s="441">
        <f>X_ail-m_ail</f>
        <v>830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 t="str">
        <f>IF(RIGHT(Nb_diam,1)=",", "", l_r)</f>
        <v/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343</v>
      </c>
      <c r="F94" s="440" t="str">
        <f>IF(RIGHT(Nb_diam,1)=",", "", D2r)</f>
        <v/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344</v>
      </c>
      <c r="F97" s="441">
        <f>m_ail</f>
        <v>170</v>
      </c>
      <c r="G97" s="48"/>
      <c r="H97" s="48"/>
      <c r="I97" s="48"/>
      <c r="J97" s="441">
        <f>p_ail</f>
        <v>140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346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350</v>
      </c>
      <c r="E101" s="6">
        <f ca="1">XpropuRef-Long_propu</f>
        <v>722</v>
      </c>
      <c r="F101" s="252"/>
      <c r="G101" s="48"/>
      <c r="H101" s="48"/>
      <c r="I101" s="48"/>
      <c r="J101" s="441">
        <f>n_ail</f>
        <v>80</v>
      </c>
      <c r="K101" s="2"/>
      <c r="N101" s="75"/>
    </row>
    <row r="102" spans="2:14" x14ac:dyDescent="0.2">
      <c r="B102" s="74"/>
      <c r="D102" s="437" t="s">
        <v>347</v>
      </c>
      <c r="E102" s="6">
        <f>IF(LEFT(Forme_ogive,4)="Ogiv",1,0)</f>
        <v>0</v>
      </c>
      <c r="F102" s="252" t="s">
        <v>348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160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349</v>
      </c>
      <c r="G104" s="48"/>
      <c r="H104" s="48"/>
      <c r="I104" s="48"/>
      <c r="J104" s="12" t="s">
        <v>345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110</v>
      </c>
      <c r="I105" s="273"/>
      <c r="J105" s="441">
        <f>ep_ail</f>
        <v>4</v>
      </c>
      <c r="K105" s="48"/>
      <c r="N105" s="75"/>
    </row>
    <row r="106" spans="2:14" x14ac:dyDescent="0.2">
      <c r="B106" s="74"/>
      <c r="D106" s="429"/>
      <c r="E106" s="246" t="s">
        <v>354</v>
      </c>
      <c r="F106" s="243" t="s">
        <v>353</v>
      </c>
      <c r="N106" s="75"/>
    </row>
    <row r="107" spans="2:14" x14ac:dyDescent="0.2">
      <c r="B107" s="74"/>
      <c r="D107" s="437" t="s">
        <v>351</v>
      </c>
      <c r="E107" s="6">
        <f>MasseSans</f>
        <v>4</v>
      </c>
      <c r="F107" s="244">
        <f ca="1">MassePlein</f>
        <v>4.1599000000000004</v>
      </c>
      <c r="N107" s="75"/>
    </row>
    <row r="108" spans="2:14" x14ac:dyDescent="0.2">
      <c r="B108" s="74"/>
      <c r="D108" s="431" t="s">
        <v>352</v>
      </c>
      <c r="E108" s="274">
        <f>XcgSans</f>
        <v>520</v>
      </c>
      <c r="F108" s="260">
        <f ca="1">XcgPlein</f>
        <v>532.14654198418225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355</v>
      </c>
      <c r="E110" s="439">
        <f ca="1">MasseVide</f>
        <v>4.0842999999999998</v>
      </c>
      <c r="G110" s="429" t="s">
        <v>356</v>
      </c>
      <c r="H110" s="265"/>
      <c r="I110" s="265"/>
      <c r="J110" s="266"/>
      <c r="N110" s="75"/>
    </row>
    <row r="111" spans="2:14" x14ac:dyDescent="0.2">
      <c r="B111" s="74"/>
      <c r="G111" s="276" t="s">
        <v>214</v>
      </c>
      <c r="H111" s="6">
        <f>Beta_rampe</f>
        <v>80.569999999999993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216</v>
      </c>
      <c r="H112" s="247">
        <f ca="1">Temps_culmi</f>
        <v>19.59999999999998</v>
      </c>
      <c r="I112" s="259"/>
      <c r="J112" s="268"/>
      <c r="N112" s="75"/>
    </row>
    <row r="113" spans="2:14" ht="12.75" customHeight="1" x14ac:dyDescent="0.25">
      <c r="B113" s="74"/>
      <c r="D113" s="435" t="s">
        <v>357</v>
      </c>
      <c r="E113" s="48"/>
      <c r="G113" s="278" t="s">
        <v>217</v>
      </c>
      <c r="H113" s="242">
        <f ca="1">Altitude_culmi</f>
        <v>1860.1319566312261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218</v>
      </c>
      <c r="H114" s="248">
        <f ca="1">Vit_culmi</f>
        <v>18.885987952144752</v>
      </c>
      <c r="I114" s="259"/>
      <c r="J114" s="268"/>
      <c r="N114" s="75"/>
    </row>
    <row r="115" spans="2:14" x14ac:dyDescent="0.2">
      <c r="B115" s="74"/>
      <c r="C115" s="429" t="s">
        <v>358</v>
      </c>
      <c r="D115" s="249"/>
      <c r="E115" s="446">
        <v>0.1</v>
      </c>
      <c r="G115" s="278" t="s">
        <v>134</v>
      </c>
      <c r="H115" s="242">
        <f ca="1">Portee_balistique</f>
        <v>712.18513894933824</v>
      </c>
      <c r="I115" s="259"/>
      <c r="J115" s="268"/>
      <c r="N115" s="75"/>
    </row>
    <row r="116" spans="2:14" ht="12.75" customHeight="1" x14ac:dyDescent="0.2">
      <c r="B116" s="74"/>
      <c r="C116" s="431" t="s">
        <v>359</v>
      </c>
      <c r="D116" s="255"/>
      <c r="E116" s="447">
        <f>E_ail*(m_ail+n_ail)/2</f>
        <v>13750</v>
      </c>
      <c r="G116" s="278" t="s">
        <v>138</v>
      </c>
      <c r="H116" s="248">
        <f ca="1">Vit_max</f>
        <v>150.91901372530018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137</v>
      </c>
      <c r="H117" s="242">
        <f ca="1">Acc_max</f>
        <v>41.211274701340855</v>
      </c>
      <c r="I117" s="259"/>
      <c r="J117" s="268"/>
      <c r="N117" s="75"/>
    </row>
    <row r="118" spans="2:14" x14ac:dyDescent="0.2">
      <c r="B118" s="74"/>
      <c r="C118" s="429" t="s">
        <v>360</v>
      </c>
      <c r="D118" s="249"/>
      <c r="E118" s="457"/>
      <c r="F118" s="458">
        <f>J90/100</f>
        <v>8.3000000000000007</v>
      </c>
      <c r="G118" s="276" t="s">
        <v>5</v>
      </c>
      <c r="H118" s="6">
        <f>Cx</f>
        <v>0.4</v>
      </c>
      <c r="I118" s="259"/>
      <c r="J118" s="268"/>
      <c r="N118" s="75"/>
    </row>
    <row r="119" spans="2:14" x14ac:dyDescent="0.2">
      <c r="B119" s="74"/>
      <c r="C119" s="437" t="s">
        <v>361</v>
      </c>
      <c r="D119" s="2"/>
      <c r="E119" s="459">
        <f ca="1">2*Acc_max*MasseSans</f>
        <v>329.69019761072684</v>
      </c>
      <c r="F119" s="460">
        <f ca="1">E119/g</f>
        <v>33.607563466944633</v>
      </c>
      <c r="G119" s="269" t="s">
        <v>223</v>
      </c>
      <c r="H119" s="270"/>
      <c r="I119" s="270"/>
      <c r="J119" s="271"/>
      <c r="N119" s="75"/>
    </row>
    <row r="120" spans="2:14" x14ac:dyDescent="0.2">
      <c r="B120" s="74"/>
      <c r="C120" s="437" t="s">
        <v>362</v>
      </c>
      <c r="D120" s="2"/>
      <c r="E120" s="459">
        <f ca="1">2*Acc_max*E115</f>
        <v>8.2422549402681717</v>
      </c>
      <c r="F120" s="460">
        <f ca="1">E120/g</f>
        <v>0.8401890866736158</v>
      </c>
      <c r="N120" s="75"/>
    </row>
    <row r="121" spans="2:14" x14ac:dyDescent="0.2">
      <c r="B121" s="74"/>
      <c r="C121" s="431" t="s">
        <v>363</v>
      </c>
      <c r="D121" s="255"/>
      <c r="E121" s="452">
        <f ca="1">0.104*E116/1000000*Vit_max^2</f>
        <v>32.570464646458802</v>
      </c>
      <c r="F121" s="453">
        <f ca="1">E121/g</f>
        <v>3.32012891401211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364</v>
      </c>
      <c r="E124" s="448"/>
      <c r="J124" s="48"/>
      <c r="K124" s="48"/>
      <c r="N124" s="75"/>
    </row>
    <row r="125" spans="2:14" x14ac:dyDescent="0.2">
      <c r="B125" s="74"/>
      <c r="C125" s="445" t="s">
        <v>365</v>
      </c>
      <c r="J125" s="48"/>
      <c r="K125" s="48"/>
      <c r="N125" s="75"/>
    </row>
    <row r="126" spans="2:14" x14ac:dyDescent="0.2">
      <c r="B126" s="74"/>
      <c r="C126" s="429" t="s">
        <v>366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367</v>
      </c>
      <c r="D127" s="255"/>
      <c r="E127" s="456">
        <f>S_para</f>
        <v>0.24</v>
      </c>
      <c r="G127" s="48"/>
      <c r="J127" s="48"/>
      <c r="N127" s="75"/>
    </row>
    <row r="128" spans="2:14" x14ac:dyDescent="0.2">
      <c r="B128" s="74"/>
      <c r="C128" s="660" t="s">
        <v>368</v>
      </c>
      <c r="D128" s="661"/>
      <c r="E128" s="450">
        <f ca="1">0.5*Rho_moyen*S_para*Vit_culmi^2</f>
        <v>52.432039516497838</v>
      </c>
      <c r="F128" s="451">
        <f ca="1">E128/g</f>
        <v>5.344754283027302</v>
      </c>
      <c r="H128" s="48"/>
      <c r="I128" s="48"/>
      <c r="J128" s="48"/>
      <c r="K128" s="48"/>
      <c r="N128" s="75"/>
    </row>
    <row r="129" spans="2:14" x14ac:dyDescent="0.2">
      <c r="B129" s="74"/>
      <c r="C129" s="658" t="s">
        <v>369</v>
      </c>
      <c r="D129" s="659"/>
      <c r="E129" s="452">
        <f ca="1">E128/E126*2</f>
        <v>26.216019758248919</v>
      </c>
      <c r="F129" s="453">
        <f ca="1">E129/g</f>
        <v>2.672377141513651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370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60" t="s">
        <v>371</v>
      </c>
      <c r="D132" s="661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58" t="s">
        <v>372</v>
      </c>
      <c r="D133" s="659"/>
      <c r="E133" s="455">
        <f ca="1">2*E132*Acc_max/g</f>
        <v>8.4018908667361583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  <mergeCell ref="E31:G31"/>
    <mergeCell ref="M29:M30"/>
    <mergeCell ref="H30:I30"/>
    <mergeCell ref="L29:L30"/>
    <mergeCell ref="H31:I31"/>
    <mergeCell ref="C133:D133"/>
    <mergeCell ref="C128:D128"/>
    <mergeCell ref="C129:D129"/>
    <mergeCell ref="C132:D132"/>
    <mergeCell ref="H44:I44"/>
    <mergeCell ref="H45:I45"/>
    <mergeCell ref="H46:I46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 r:id="rId1"/>
  <ignoredErrors>
    <ignoredError sqref="H65 H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2025-08-14T08:08:58Z</dcterms:modified>
</cp:coreProperties>
</file>